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5" yWindow="114" windowWidth="6844" windowHeight="6573" activeTab="0"/>
  </bookViews>
  <sheets>
    <sheet name="Main" sheetId="1" r:id="rId1"/>
    <sheet name="Formulas" sheetId="2" r:id="rId2"/>
    <sheet name="Calc1" sheetId="3" r:id="rId3"/>
  </sheets>
  <definedNames>
    <definedName name="eqa" localSheetId="1">'Formulas'!$C$2</definedName>
    <definedName name="ref" localSheetId="1">'Formulas'!$B$24</definedName>
  </definedNames>
  <calcPr fullCalcOnLoad="1"/>
</workbook>
</file>

<file path=xl/sharedStrings.xml><?xml version="1.0" encoding="utf-8"?>
<sst xmlns="http://schemas.openxmlformats.org/spreadsheetml/2006/main" count="182" uniqueCount="135">
  <si>
    <t>Input the following parameters:</t>
  </si>
  <si>
    <t>MHz</t>
  </si>
  <si>
    <t>feet</t>
  </si>
  <si>
    <t>inches</t>
  </si>
  <si>
    <t>Watts</t>
  </si>
  <si>
    <t>ft²</t>
  </si>
  <si>
    <t xml:space="preserve">ft </t>
  </si>
  <si>
    <t>%</t>
  </si>
  <si>
    <t>pF</t>
  </si>
  <si>
    <t>V</t>
  </si>
  <si>
    <t>mils (1/1000 in)</t>
  </si>
  <si>
    <t>milliohms</t>
  </si>
  <si>
    <t>mΩ</t>
  </si>
  <si>
    <t>Calculated Results:</t>
  </si>
  <si>
    <t>Small Magnetic Loop Antenna Calculator</t>
  </si>
  <si>
    <t>Calculations:</t>
  </si>
  <si>
    <t>Givens:</t>
  </si>
  <si>
    <t>Ω</t>
  </si>
  <si>
    <r>
      <t>π</t>
    </r>
    <r>
      <rPr>
        <sz val="10"/>
        <rFont val="Arial"/>
        <family val="0"/>
      </rPr>
      <t xml:space="preserve"> =</t>
    </r>
  </si>
  <si>
    <r>
      <t xml:space="preserve">Loop Diameter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=</t>
    </r>
  </si>
  <si>
    <r>
      <t xml:space="preserve">Conductor Diameter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=</t>
    </r>
  </si>
  <si>
    <r>
      <t xml:space="preserve">RF Power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>=</t>
    </r>
  </si>
  <si>
    <r>
      <t xml:space="preserve">Loop Circumference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 </t>
    </r>
  </si>
  <si>
    <r>
      <t xml:space="preserve">Loop Area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=</t>
    </r>
  </si>
  <si>
    <t>in</t>
  </si>
  <si>
    <r>
      <t xml:space="preserve">Frequency 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>=</t>
    </r>
  </si>
  <si>
    <t>Hz</t>
  </si>
  <si>
    <r>
      <t xml:space="preserve">Radiation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R</t>
    </r>
    <r>
      <rPr>
        <sz val="10"/>
        <rFont val="Arial"/>
        <family val="0"/>
      </rPr>
      <t>=</t>
    </r>
  </si>
  <si>
    <t>m</t>
  </si>
  <si>
    <t>m²</t>
  </si>
  <si>
    <r>
      <t xml:space="preserve">Added 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L</t>
    </r>
    <r>
      <rPr>
        <sz val="10"/>
        <rFont val="Arial"/>
        <family val="2"/>
      </rPr>
      <t>=</t>
    </r>
  </si>
  <si>
    <r>
      <t xml:space="preserve">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L=</t>
    </r>
  </si>
  <si>
    <r>
      <t xml:space="preserve">Total 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T</t>
    </r>
    <r>
      <rPr>
        <sz val="10"/>
        <rFont val="Arial"/>
        <family val="0"/>
      </rPr>
      <t>=</t>
    </r>
  </si>
  <si>
    <t>ft</t>
  </si>
  <si>
    <r>
      <t xml:space="preserve">Efficiency </t>
    </r>
    <r>
      <rPr>
        <b/>
        <sz val="10"/>
        <rFont val="Arial"/>
        <family val="2"/>
      </rPr>
      <t>η</t>
    </r>
    <r>
      <rPr>
        <sz val="10"/>
        <rFont val="Arial"/>
        <family val="0"/>
      </rPr>
      <t>=</t>
    </r>
  </si>
  <si>
    <r>
      <t xml:space="preserve">Inductance 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>=</t>
    </r>
  </si>
  <si>
    <t>H</t>
  </si>
  <si>
    <t>μH</t>
  </si>
  <si>
    <r>
      <t xml:space="preserve">Inductive Reactance </t>
    </r>
    <r>
      <rPr>
        <b/>
        <sz val="10"/>
        <rFont val="Arial"/>
        <family val="2"/>
      </rPr>
      <t>X</t>
    </r>
    <r>
      <rPr>
        <b/>
        <sz val="8"/>
        <rFont val="Arial"/>
        <family val="2"/>
      </rPr>
      <t>L</t>
    </r>
    <r>
      <rPr>
        <sz val="10"/>
        <rFont val="Arial"/>
        <family val="0"/>
      </rPr>
      <t>=</t>
    </r>
  </si>
  <si>
    <r>
      <t xml:space="preserve">Tuning Capacitor </t>
    </r>
    <r>
      <rPr>
        <b/>
        <sz val="10"/>
        <rFont val="Arial"/>
        <family val="2"/>
      </rPr>
      <t>C</t>
    </r>
    <r>
      <rPr>
        <b/>
        <sz val="8"/>
        <rFont val="Arial"/>
        <family val="2"/>
      </rPr>
      <t>T</t>
    </r>
    <r>
      <rPr>
        <sz val="10"/>
        <rFont val="Arial"/>
        <family val="0"/>
      </rPr>
      <t>=</t>
    </r>
  </si>
  <si>
    <t>F</t>
  </si>
  <si>
    <t>ρF</t>
  </si>
  <si>
    <r>
      <t xml:space="preserve">Quality Factor </t>
    </r>
    <r>
      <rPr>
        <b/>
        <sz val="10"/>
        <rFont val="Arial"/>
        <family val="2"/>
      </rPr>
      <t>Q</t>
    </r>
    <r>
      <rPr>
        <sz val="10"/>
        <rFont val="Arial"/>
        <family val="0"/>
      </rPr>
      <t>=</t>
    </r>
  </si>
  <si>
    <r>
      <t xml:space="preserve">Bandwidth </t>
    </r>
    <r>
      <rPr>
        <b/>
        <sz val="8"/>
        <rFont val="Arial"/>
        <family val="2"/>
      </rPr>
      <t>Δ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= </t>
    </r>
  </si>
  <si>
    <t>kHz</t>
  </si>
  <si>
    <r>
      <t>Distributed Capacity</t>
    </r>
    <r>
      <rPr>
        <b/>
        <sz val="10"/>
        <rFont val="Arial"/>
        <family val="2"/>
      </rPr>
      <t xml:space="preserve"> C</t>
    </r>
    <r>
      <rPr>
        <b/>
        <sz val="8"/>
        <rFont val="Arial"/>
        <family val="2"/>
      </rPr>
      <t>D</t>
    </r>
    <r>
      <rPr>
        <sz val="10"/>
        <rFont val="Arial"/>
        <family val="0"/>
      </rPr>
      <t>=</t>
    </r>
  </si>
  <si>
    <r>
      <t xml:space="preserve">Capacitor Potential </t>
    </r>
    <r>
      <rPr>
        <b/>
        <sz val="10"/>
        <rFont val="Arial"/>
        <family val="2"/>
      </rPr>
      <t>V</t>
    </r>
    <r>
      <rPr>
        <b/>
        <sz val="8"/>
        <rFont val="Arial"/>
        <family val="2"/>
      </rPr>
      <t>C</t>
    </r>
    <r>
      <rPr>
        <sz val="10"/>
        <rFont val="Arial"/>
        <family val="0"/>
      </rPr>
      <t>=</t>
    </r>
  </si>
  <si>
    <r>
      <t xml:space="preserve">Minimum Plate Spacing </t>
    </r>
    <r>
      <rPr>
        <b/>
        <sz val="10"/>
        <rFont val="Arial"/>
        <family val="2"/>
      </rPr>
      <t>P</t>
    </r>
    <r>
      <rPr>
        <b/>
        <sz val="8"/>
        <rFont val="Arial"/>
        <family val="2"/>
      </rPr>
      <t>S</t>
    </r>
    <r>
      <rPr>
        <sz val="10"/>
        <rFont val="Arial"/>
        <family val="0"/>
      </rPr>
      <t>=</t>
    </r>
  </si>
  <si>
    <t>mils</t>
  </si>
  <si>
    <t>mm</t>
  </si>
  <si>
    <r>
      <t xml:space="preserve">Wavelength </t>
    </r>
    <r>
      <rPr>
        <b/>
        <sz val="10"/>
        <rFont val="Arial"/>
        <family val="2"/>
      </rPr>
      <t>λ</t>
    </r>
    <r>
      <rPr>
        <sz val="10"/>
        <rFont val="Arial"/>
        <family val="0"/>
      </rPr>
      <t>=</t>
    </r>
  </si>
  <si>
    <r>
      <t xml:space="preserve">Circumference % </t>
    </r>
    <r>
      <rPr>
        <b/>
        <sz val="10"/>
        <rFont val="Arial"/>
        <family val="2"/>
      </rPr>
      <t>λ</t>
    </r>
    <r>
      <rPr>
        <sz val="10"/>
        <rFont val="Arial"/>
        <family val="0"/>
      </rPr>
      <t>=</t>
    </r>
  </si>
  <si>
    <t>% λ</t>
  </si>
  <si>
    <t>dB</t>
  </si>
  <si>
    <t>Bandwidth =</t>
  </si>
  <si>
    <t>Efficiency =</t>
  </si>
  <si>
    <t>Loop Area =</t>
  </si>
  <si>
    <t>Radiation Resistance =</t>
  </si>
  <si>
    <t>Total Loss Resistance =</t>
  </si>
  <si>
    <t>Loop Circumference =</t>
  </si>
  <si>
    <t>Loop Inductance =</t>
  </si>
  <si>
    <t>Distributed Capacitance =</t>
  </si>
  <si>
    <t>Q (Quality Factor) =</t>
  </si>
  <si>
    <t>Tuning Capacitor =</t>
  </si>
  <si>
    <t>Capacitor Voltage =</t>
  </si>
  <si>
    <t>Minimum Plate Spacing =</t>
  </si>
  <si>
    <t>by Steve Yates</t>
  </si>
  <si>
    <t>AA5TB</t>
  </si>
  <si>
    <t>Notes:</t>
  </si>
  <si>
    <r>
      <t xml:space="preserve">1. To truly be considered a small loop, the </t>
    </r>
    <r>
      <rPr>
        <b/>
        <sz val="10"/>
        <rFont val="Arial"/>
        <family val="2"/>
      </rPr>
      <t>Loop Circumference</t>
    </r>
    <r>
      <rPr>
        <sz val="10"/>
        <rFont val="Arial"/>
        <family val="2"/>
      </rPr>
      <t xml:space="preserve"> should be less </t>
    </r>
  </si>
  <si>
    <r>
      <t xml:space="preserve">    Loss Resistance</t>
    </r>
    <r>
      <rPr>
        <sz val="10"/>
        <rFont val="Arial"/>
        <family val="2"/>
      </rPr>
      <t xml:space="preserve"> box.</t>
    </r>
  </si>
  <si>
    <r>
      <t xml:space="preserve">2. To see the effects of bad joints, etc., input realistic values into the </t>
    </r>
    <r>
      <rPr>
        <b/>
        <sz val="10"/>
        <rFont val="Arial"/>
        <family val="2"/>
      </rPr>
      <t xml:space="preserve">Added  </t>
    </r>
  </si>
  <si>
    <t xml:space="preserve">    then 10 % λ.  Larger loops will have greater efficiency but smaller nulls. </t>
  </si>
  <si>
    <t>Design Frequency =</t>
  </si>
  <si>
    <t>Loop Diameter =</t>
  </si>
  <si>
    <t>Conductor Diameter =</t>
  </si>
  <si>
    <t>Added Loss Resistance =</t>
  </si>
  <si>
    <t xml:space="preserve">RF Power = </t>
  </si>
  <si>
    <t>Frequency</t>
  </si>
  <si>
    <t>Radiation</t>
  </si>
  <si>
    <t>Resistance</t>
  </si>
  <si>
    <t>Loss</t>
  </si>
  <si>
    <t>Total Loss</t>
  </si>
  <si>
    <t>Efficiency</t>
  </si>
  <si>
    <t>Quality</t>
  </si>
  <si>
    <t>Factor</t>
  </si>
  <si>
    <t>Bandwidth</t>
  </si>
  <si>
    <t>Capacitor</t>
  </si>
  <si>
    <t>Potential</t>
  </si>
  <si>
    <t>Spacing</t>
  </si>
  <si>
    <t>Minimum</t>
  </si>
  <si>
    <t>Wavelength</t>
  </si>
  <si>
    <t>Circumference</t>
  </si>
  <si>
    <t>Inductive</t>
  </si>
  <si>
    <t>Reactance</t>
  </si>
  <si>
    <t>Tuning</t>
  </si>
  <si>
    <r>
      <t>R</t>
    </r>
    <r>
      <rPr>
        <b/>
        <sz val="8"/>
        <rFont val="Arial"/>
        <family val="2"/>
      </rPr>
      <t>R</t>
    </r>
  </si>
  <si>
    <r>
      <t>R</t>
    </r>
    <r>
      <rPr>
        <b/>
        <sz val="8"/>
        <rFont val="Arial"/>
        <family val="2"/>
      </rPr>
      <t>L</t>
    </r>
  </si>
  <si>
    <r>
      <t>R</t>
    </r>
    <r>
      <rPr>
        <b/>
        <sz val="8"/>
        <rFont val="Arial"/>
        <family val="2"/>
      </rPr>
      <t>T</t>
    </r>
  </si>
  <si>
    <t>η</t>
  </si>
  <si>
    <r>
      <t>X</t>
    </r>
    <r>
      <rPr>
        <b/>
        <sz val="8"/>
        <rFont val="Arial"/>
        <family val="2"/>
      </rPr>
      <t>L</t>
    </r>
  </si>
  <si>
    <r>
      <t>C</t>
    </r>
    <r>
      <rPr>
        <b/>
        <sz val="8"/>
        <rFont val="Arial"/>
        <family val="2"/>
      </rPr>
      <t>T</t>
    </r>
  </si>
  <si>
    <t>Q</t>
  </si>
  <si>
    <r>
      <t>Δ</t>
    </r>
    <r>
      <rPr>
        <b/>
        <sz val="10"/>
        <rFont val="Arial"/>
        <family val="2"/>
      </rPr>
      <t>F</t>
    </r>
  </si>
  <si>
    <r>
      <t>V</t>
    </r>
    <r>
      <rPr>
        <b/>
        <sz val="8"/>
        <rFont val="Arial"/>
        <family val="2"/>
      </rPr>
      <t>C</t>
    </r>
  </si>
  <si>
    <r>
      <t>P</t>
    </r>
    <r>
      <rPr>
        <b/>
        <sz val="8"/>
        <rFont val="Arial"/>
        <family val="2"/>
      </rPr>
      <t>S</t>
    </r>
  </si>
  <si>
    <t>λ</t>
  </si>
  <si>
    <t>aa5tb@yahoo.com</t>
  </si>
  <si>
    <r>
      <t>Radiation Resistance, Ohms: 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 xml:space="preserve"> = (3.38×10↑-8)(f²A)²</t>
    </r>
  </si>
  <si>
    <r>
      <t>Loss Resistance, Ohms: 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 xml:space="preserve"> = (9.96×10↑-4)(√f)(S/d)</t>
    </r>
  </si>
  <si>
    <r>
      <t>Efficiency: η = 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>/(R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>+R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)</t>
    </r>
  </si>
  <si>
    <r>
      <t>Inductance, Henrys: L = (1.9×10↑-8)S[7.353log</t>
    </r>
    <r>
      <rPr>
        <sz val="7.5"/>
        <rFont val="Comic Sans MS"/>
        <family val="4"/>
      </rPr>
      <t>10</t>
    </r>
    <r>
      <rPr>
        <sz val="10"/>
        <rFont val="Comic Sans MS"/>
        <family val="4"/>
      </rPr>
      <t>(96S/πd)-6.386]</t>
    </r>
  </si>
  <si>
    <r>
      <t>Inductive Reactance, Ohms: 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 xml:space="preserve"> = 2πf(L×10↑6)</t>
    </r>
  </si>
  <si>
    <r>
      <t>Tuning Capacitor, Farads: C</t>
    </r>
    <r>
      <rPr>
        <sz val="7.5"/>
        <rFont val="Comic Sans MS"/>
        <family val="4"/>
      </rPr>
      <t>T</t>
    </r>
    <r>
      <rPr>
        <sz val="10"/>
        <rFont val="Comic Sans MS"/>
        <family val="4"/>
      </rPr>
      <t xml:space="preserve"> = 1/2πf(L×↑6)</t>
    </r>
  </si>
  <si>
    <r>
      <t>Quality Factor: Q = (f×10↑6)/Δf = 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/2(R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 xml:space="preserve"> + 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)</t>
    </r>
  </si>
  <si>
    <r>
      <t>Bandwidth, Hertz: Δf = (f×10↑6)/Q = [(f</t>
    </r>
    <r>
      <rPr>
        <sz val="7.5"/>
        <rFont val="Comic Sans MS"/>
        <family val="4"/>
      </rPr>
      <t>1</t>
    </r>
    <r>
      <rPr>
        <sz val="10"/>
        <rFont val="Comic Sans MS"/>
        <family val="4"/>
      </rPr>
      <t>-f</t>
    </r>
    <r>
      <rPr>
        <sz val="7.5"/>
        <rFont val="Comic Sans MS"/>
        <family val="4"/>
      </rPr>
      <t>2</t>
    </r>
    <r>
      <rPr>
        <sz val="10"/>
        <rFont val="Comic Sans MS"/>
        <family val="4"/>
      </rPr>
      <t>)×10↑6]</t>
    </r>
  </si>
  <si>
    <r>
      <t>Distributed Capacity: pF: C</t>
    </r>
    <r>
      <rPr>
        <sz val="7.5"/>
        <rFont val="Comic Sans MS"/>
        <family val="4"/>
      </rPr>
      <t>D</t>
    </r>
    <r>
      <rPr>
        <sz val="10"/>
        <rFont val="Comic Sans MS"/>
        <family val="4"/>
      </rPr>
      <t xml:space="preserve"> = 0.82S</t>
    </r>
  </si>
  <si>
    <r>
      <t>Capacitor Potential, Volts: V</t>
    </r>
    <r>
      <rPr>
        <sz val="7.5"/>
        <rFont val="Comic Sans MS"/>
        <family val="4"/>
      </rPr>
      <t>C</t>
    </r>
    <r>
      <rPr>
        <sz val="10"/>
        <rFont val="Comic Sans MS"/>
        <family val="4"/>
      </rPr>
      <t xml:space="preserve"> = √(PX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Q)</t>
    </r>
  </si>
  <si>
    <t>Capacitor Voltage Rating: 75,000V/in</t>
  </si>
  <si>
    <t xml:space="preserve">where </t>
  </si>
  <si>
    <t>f = operating frequency, MHz</t>
  </si>
  <si>
    <t>A = area of loop, square feet</t>
  </si>
  <si>
    <t>S = conductor length, feet</t>
  </si>
  <si>
    <t>d = conductor diameter, inches</t>
  </si>
  <si>
    <r>
      <t>η = decimal value; dB = 10 log</t>
    </r>
    <r>
      <rPr>
        <sz val="7.5"/>
        <rFont val="Comic Sans MS"/>
        <family val="4"/>
      </rPr>
      <t>10</t>
    </r>
    <r>
      <rPr>
        <sz val="10"/>
        <rFont val="Comic Sans MS"/>
        <family val="4"/>
      </rPr>
      <t>η</t>
    </r>
  </si>
  <si>
    <t>P = transmitter power, Watts</t>
  </si>
  <si>
    <t xml:space="preserve">(circular loop assumed, results may vary with other shapes) </t>
  </si>
  <si>
    <t>Small Loop Equations for a Copper Loop</t>
  </si>
  <si>
    <t>Updated September 21, 2005</t>
  </si>
  <si>
    <t>Wavelength Percentage =</t>
  </si>
  <si>
    <t>kHz (-3 dB points)</t>
  </si>
  <si>
    <t>Publication No. 15, p. 5-14, Table 4, 1988</t>
  </si>
  <si>
    <t xml:space="preserve">Ref. </t>
  </si>
  <si>
    <t xml:space="preserve">Small High Efficiency Loop Antennas for Transmitting,  </t>
  </si>
  <si>
    <t xml:space="preserve">The American Radio Relay League, The ARRL Antenna Handbook,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</si>
</sst>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000000"/>
    <numFmt numFmtId="176" formatCode="0.00000000000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name val="Comic Sans MS"/>
      <family val="4"/>
    </font>
    <font>
      <sz val="7.5"/>
      <name val="Comic Sans MS"/>
      <family val="4"/>
    </font>
    <font>
      <i/>
      <sz val="10"/>
      <name val="Comic Sans MS"/>
      <family val="4"/>
    </font>
    <font>
      <i/>
      <sz val="10"/>
      <color indexed="17"/>
      <name val="Comic Sans MS"/>
      <family val="4"/>
    </font>
    <font>
      <b/>
      <sz val="12"/>
      <color indexed="17"/>
      <name val="Arial"/>
      <family val="2"/>
    </font>
    <font>
      <sz val="10"/>
      <color indexed="17"/>
      <name val="Arial"/>
      <family val="0"/>
    </font>
    <font>
      <sz val="10"/>
      <color indexed="17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Andale Mono"/>
      <family val="2"/>
    </font>
    <font>
      <b/>
      <sz val="13"/>
      <color indexed="56"/>
      <name val="Andale Mono"/>
      <family val="2"/>
    </font>
    <font>
      <b/>
      <sz val="11"/>
      <color indexed="56"/>
      <name val="Andale Mono"/>
      <family val="2"/>
    </font>
    <font>
      <sz val="11"/>
      <color indexed="17"/>
      <name val="Andale Mono"/>
      <family val="2"/>
    </font>
    <font>
      <sz val="11"/>
      <color indexed="20"/>
      <name val="Andale Mono"/>
      <family val="2"/>
    </font>
    <font>
      <sz val="11"/>
      <color indexed="60"/>
      <name val="Andale Mono"/>
      <family val="2"/>
    </font>
    <font>
      <sz val="11"/>
      <color indexed="62"/>
      <name val="Andale Mono"/>
      <family val="2"/>
    </font>
    <font>
      <b/>
      <sz val="11"/>
      <color indexed="63"/>
      <name val="Andale Mono"/>
      <family val="2"/>
    </font>
    <font>
      <b/>
      <sz val="11"/>
      <color indexed="52"/>
      <name val="Andale Mono"/>
      <family val="2"/>
    </font>
    <font>
      <sz val="11"/>
      <color indexed="52"/>
      <name val="Andale Mono"/>
      <family val="2"/>
    </font>
    <font>
      <b/>
      <sz val="11"/>
      <color indexed="9"/>
      <name val="Andale Mono"/>
      <family val="2"/>
    </font>
    <font>
      <sz val="11"/>
      <color indexed="10"/>
      <name val="Andale Mono"/>
      <family val="2"/>
    </font>
    <font>
      <i/>
      <sz val="11"/>
      <color indexed="23"/>
      <name val="Andale Mono"/>
      <family val="2"/>
    </font>
    <font>
      <b/>
      <sz val="11"/>
      <color indexed="8"/>
      <name val="Andale Mono"/>
      <family val="2"/>
    </font>
    <font>
      <sz val="11"/>
      <color indexed="9"/>
      <name val="Andale Mono"/>
      <family val="2"/>
    </font>
    <font>
      <sz val="11"/>
      <color indexed="8"/>
      <name val="Andale Mono"/>
      <family val="2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Andale Mono"/>
      <family val="2"/>
    </font>
    <font>
      <sz val="11"/>
      <color theme="0"/>
      <name val="Andale Mono"/>
      <family val="2"/>
    </font>
    <font>
      <sz val="11"/>
      <color rgb="FF9C0006"/>
      <name val="Andale Mono"/>
      <family val="2"/>
    </font>
    <font>
      <b/>
      <sz val="11"/>
      <color rgb="FFFA7D00"/>
      <name val="Andale Mono"/>
      <family val="2"/>
    </font>
    <font>
      <b/>
      <sz val="11"/>
      <color theme="0"/>
      <name val="Andale Mono"/>
      <family val="2"/>
    </font>
    <font>
      <i/>
      <sz val="11"/>
      <color rgb="FF7F7F7F"/>
      <name val="Andale Mono"/>
      <family val="2"/>
    </font>
    <font>
      <sz val="11"/>
      <color rgb="FF006100"/>
      <name val="Andale Mono"/>
      <family val="2"/>
    </font>
    <font>
      <b/>
      <sz val="15"/>
      <color theme="3"/>
      <name val="Andale Mono"/>
      <family val="2"/>
    </font>
    <font>
      <b/>
      <sz val="13"/>
      <color theme="3"/>
      <name val="Andale Mono"/>
      <family val="2"/>
    </font>
    <font>
      <b/>
      <sz val="11"/>
      <color theme="3"/>
      <name val="Andale Mono"/>
      <family val="2"/>
    </font>
    <font>
      <sz val="11"/>
      <color rgb="FF3F3F76"/>
      <name val="Andale Mono"/>
      <family val="2"/>
    </font>
    <font>
      <sz val="11"/>
      <color rgb="FFFA7D00"/>
      <name val="Andale Mono"/>
      <family val="2"/>
    </font>
    <font>
      <sz val="11"/>
      <color rgb="FF9C6500"/>
      <name val="Andale Mono"/>
      <family val="2"/>
    </font>
    <font>
      <b/>
      <sz val="11"/>
      <color rgb="FF3F3F3F"/>
      <name val="Andale Mono"/>
      <family val="2"/>
    </font>
    <font>
      <b/>
      <sz val="18"/>
      <color theme="3"/>
      <name val="Cambria"/>
      <family val="2"/>
    </font>
    <font>
      <b/>
      <sz val="11"/>
      <color theme="1"/>
      <name val="Andale Mono"/>
      <family val="2"/>
    </font>
    <font>
      <sz val="11"/>
      <color rgb="FFFF0000"/>
      <name val="Andale Mon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 horizontal="right"/>
      <protection/>
    </xf>
    <xf numFmtId="170" fontId="2" fillId="34" borderId="14" xfId="0" applyNumberFormat="1" applyFont="1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170" fontId="2" fillId="34" borderId="16" xfId="0" applyNumberFormat="1" applyFont="1" applyFill="1" applyBorder="1" applyAlignment="1" applyProtection="1">
      <alignment horizontal="right"/>
      <protection/>
    </xf>
    <xf numFmtId="0" fontId="0" fillId="34" borderId="16" xfId="0" applyFill="1" applyBorder="1" applyAlignment="1" applyProtection="1">
      <alignment/>
      <protection/>
    </xf>
    <xf numFmtId="170" fontId="2" fillId="34" borderId="16" xfId="0" applyNumberFormat="1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/>
      <protection/>
    </xf>
    <xf numFmtId="170" fontId="2" fillId="34" borderId="18" xfId="0" applyNumberFormat="1" applyFont="1" applyFill="1" applyBorder="1" applyAlignment="1" applyProtection="1">
      <alignment horizontal="right"/>
      <protection/>
    </xf>
    <xf numFmtId="0" fontId="0" fillId="34" borderId="18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21" xfId="0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53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33" borderId="0" xfId="0" applyFill="1" applyAlignment="1">
      <alignment horizontal="right"/>
    </xf>
    <xf numFmtId="0" fontId="12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 horizontal="center"/>
      <protection locked="0"/>
    </xf>
    <xf numFmtId="166" fontId="0" fillId="33" borderId="0" xfId="0" applyNumberFormat="1" applyFill="1" applyAlignment="1">
      <alignment/>
    </xf>
    <xf numFmtId="166" fontId="10" fillId="35" borderId="23" xfId="0" applyNumberFormat="1" applyFont="1" applyFill="1" applyBorder="1" applyAlignment="1">
      <alignment/>
    </xf>
    <xf numFmtId="166" fontId="10" fillId="35" borderId="24" xfId="0" applyNumberFormat="1" applyFont="1" applyFill="1" applyBorder="1" applyAlignment="1">
      <alignment/>
    </xf>
    <xf numFmtId="166" fontId="10" fillId="36" borderId="16" xfId="0" applyNumberFormat="1" applyFont="1" applyFill="1" applyBorder="1" applyAlignment="1">
      <alignment/>
    </xf>
    <xf numFmtId="166" fontId="11" fillId="36" borderId="16" xfId="0" applyNumberFormat="1" applyFont="1" applyFill="1" applyBorder="1" applyAlignment="1">
      <alignment/>
    </xf>
    <xf numFmtId="166" fontId="11" fillId="36" borderId="25" xfId="0" applyNumberFormat="1" applyFont="1" applyFill="1" applyBorder="1" applyAlignment="1">
      <alignment/>
    </xf>
    <xf numFmtId="166" fontId="11" fillId="36" borderId="0" xfId="0" applyNumberFormat="1" applyFont="1" applyFill="1" applyBorder="1" applyAlignment="1">
      <alignment/>
    </xf>
    <xf numFmtId="166" fontId="10" fillId="33" borderId="26" xfId="0" applyNumberFormat="1" applyFont="1" applyFill="1" applyBorder="1" applyAlignment="1">
      <alignment horizontal="center"/>
    </xf>
    <xf numFmtId="166" fontId="10" fillId="33" borderId="19" xfId="0" applyNumberFormat="1" applyFont="1" applyFill="1" applyBorder="1" applyAlignment="1">
      <alignment horizontal="center"/>
    </xf>
    <xf numFmtId="166" fontId="2" fillId="33" borderId="19" xfId="0" applyNumberFormat="1" applyFont="1" applyFill="1" applyBorder="1" applyAlignment="1">
      <alignment horizontal="center"/>
    </xf>
    <xf numFmtId="166" fontId="10" fillId="33" borderId="20" xfId="0" applyNumberFormat="1" applyFont="1" applyFill="1" applyBorder="1" applyAlignment="1">
      <alignment horizontal="center"/>
    </xf>
    <xf numFmtId="166" fontId="10" fillId="35" borderId="27" xfId="0" applyNumberFormat="1" applyFont="1" applyFill="1" applyBorder="1" applyAlignment="1">
      <alignment/>
    </xf>
    <xf numFmtId="166" fontId="10" fillId="35" borderId="21" xfId="0" applyNumberFormat="1" applyFont="1" applyFill="1" applyBorder="1" applyAlignment="1">
      <alignment/>
    </xf>
    <xf numFmtId="166" fontId="11" fillId="36" borderId="21" xfId="0" applyNumberFormat="1" applyFont="1" applyFill="1" applyBorder="1" applyAlignment="1">
      <alignment/>
    </xf>
    <xf numFmtId="166" fontId="10" fillId="36" borderId="21" xfId="0" applyNumberFormat="1" applyFont="1" applyFill="1" applyBorder="1" applyAlignment="1">
      <alignment/>
    </xf>
    <xf numFmtId="166" fontId="10" fillId="36" borderId="28" xfId="0" applyNumberFormat="1" applyFont="1" applyFill="1" applyBorder="1" applyAlignment="1">
      <alignment/>
    </xf>
    <xf numFmtId="166" fontId="10" fillId="36" borderId="29" xfId="0" applyNumberFormat="1" applyFont="1" applyFill="1" applyBorder="1" applyAlignment="1">
      <alignment/>
    </xf>
    <xf numFmtId="166" fontId="11" fillId="36" borderId="29" xfId="0" applyNumberFormat="1" applyFont="1" applyFill="1" applyBorder="1" applyAlignment="1">
      <alignment/>
    </xf>
    <xf numFmtId="166" fontId="11" fillId="36" borderId="28" xfId="0" applyNumberFormat="1" applyFont="1" applyFill="1" applyBorder="1" applyAlignment="1">
      <alignment/>
    </xf>
    <xf numFmtId="166" fontId="11" fillId="36" borderId="27" xfId="0" applyNumberFormat="1" applyFont="1" applyFill="1" applyBorder="1" applyAlignment="1">
      <alignment/>
    </xf>
    <xf numFmtId="166" fontId="10" fillId="36" borderId="27" xfId="0" applyNumberFormat="1" applyFont="1" applyFill="1" applyBorder="1" applyAlignment="1">
      <alignment/>
    </xf>
    <xf numFmtId="166" fontId="10" fillId="33" borderId="30" xfId="0" applyNumberFormat="1" applyFont="1" applyFill="1" applyBorder="1" applyAlignment="1">
      <alignment horizontal="center"/>
    </xf>
    <xf numFmtId="166" fontId="10" fillId="35" borderId="25" xfId="0" applyNumberFormat="1" applyFont="1" applyFill="1" applyBorder="1" applyAlignment="1">
      <alignment/>
    </xf>
    <xf numFmtId="166" fontId="10" fillId="35" borderId="16" xfId="0" applyNumberFormat="1" applyFont="1" applyFill="1" applyBorder="1" applyAlignment="1">
      <alignment/>
    </xf>
    <xf numFmtId="166" fontId="10" fillId="36" borderId="31" xfId="0" applyNumberFormat="1" applyFont="1" applyFill="1" applyBorder="1" applyAlignment="1">
      <alignment/>
    </xf>
    <xf numFmtId="166" fontId="10" fillId="36" borderId="0" xfId="0" applyNumberFormat="1" applyFont="1" applyFill="1" applyBorder="1" applyAlignment="1">
      <alignment/>
    </xf>
    <xf numFmtId="166" fontId="10" fillId="36" borderId="25" xfId="0" applyNumberFormat="1" applyFont="1" applyFill="1" applyBorder="1" applyAlignment="1">
      <alignment/>
    </xf>
    <xf numFmtId="166" fontId="11" fillId="36" borderId="31" xfId="0" applyNumberFormat="1" applyFont="1" applyFill="1" applyBorder="1" applyAlignment="1">
      <alignment/>
    </xf>
    <xf numFmtId="166" fontId="10" fillId="35" borderId="31" xfId="0" applyNumberFormat="1" applyFont="1" applyFill="1" applyBorder="1" applyAlignment="1">
      <alignment/>
    </xf>
    <xf numFmtId="166" fontId="2" fillId="33" borderId="29" xfId="0" applyNumberFormat="1" applyFont="1" applyFill="1" applyBorder="1" applyAlignment="1">
      <alignment horizontal="center"/>
    </xf>
    <xf numFmtId="166" fontId="10" fillId="36" borderId="30" xfId="0" applyNumberFormat="1" applyFont="1" applyFill="1" applyBorder="1" applyAlignment="1">
      <alignment/>
    </xf>
    <xf numFmtId="166" fontId="10" fillId="36" borderId="23" xfId="0" applyNumberFormat="1" applyFont="1" applyFill="1" applyBorder="1" applyAlignment="1">
      <alignment/>
    </xf>
    <xf numFmtId="166" fontId="11" fillId="36" borderId="30" xfId="0" applyNumberFormat="1" applyFont="1" applyFill="1" applyBorder="1" applyAlignment="1">
      <alignment/>
    </xf>
    <xf numFmtId="166" fontId="10" fillId="33" borderId="27" xfId="0" applyNumberFormat="1" applyFont="1" applyFill="1" applyBorder="1" applyAlignment="1">
      <alignment horizontal="center"/>
    </xf>
    <xf numFmtId="166" fontId="10" fillId="33" borderId="29" xfId="0" applyNumberFormat="1" applyFont="1" applyFill="1" applyBorder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11" fillId="33" borderId="19" xfId="0" applyNumberFormat="1" applyFont="1" applyFill="1" applyBorder="1" applyAlignment="1">
      <alignment horizontal="center"/>
    </xf>
    <xf numFmtId="166" fontId="10" fillId="33" borderId="28" xfId="0" applyNumberFormat="1" applyFont="1" applyFill="1" applyBorder="1" applyAlignment="1">
      <alignment horizontal="center"/>
    </xf>
    <xf numFmtId="166" fontId="0" fillId="33" borderId="20" xfId="0" applyNumberFormat="1" applyFill="1" applyBorder="1" applyAlignment="1">
      <alignment/>
    </xf>
    <xf numFmtId="166" fontId="7" fillId="33" borderId="22" xfId="0" applyNumberFormat="1" applyFont="1" applyFill="1" applyBorder="1" applyAlignment="1">
      <alignment horizontal="right"/>
    </xf>
    <xf numFmtId="1" fontId="10" fillId="35" borderId="16" xfId="0" applyNumberFormat="1" applyFont="1" applyFill="1" applyBorder="1" applyAlignment="1">
      <alignment/>
    </xf>
    <xf numFmtId="176" fontId="10" fillId="35" borderId="27" xfId="0" applyNumberFormat="1" applyFont="1" applyFill="1" applyBorder="1" applyAlignment="1">
      <alignment/>
    </xf>
    <xf numFmtId="166" fontId="10" fillId="35" borderId="26" xfId="0" applyNumberFormat="1" applyFont="1" applyFill="1" applyBorder="1" applyAlignment="1">
      <alignment horizontal="center"/>
    </xf>
    <xf numFmtId="166" fontId="10" fillId="35" borderId="19" xfId="0" applyNumberFormat="1" applyFont="1" applyFill="1" applyBorder="1" applyAlignment="1">
      <alignment horizontal="center"/>
    </xf>
    <xf numFmtId="166" fontId="2" fillId="35" borderId="19" xfId="0" applyNumberFormat="1" applyFont="1" applyFill="1" applyBorder="1" applyAlignment="1">
      <alignment horizontal="center"/>
    </xf>
    <xf numFmtId="166" fontId="10" fillId="35" borderId="20" xfId="0" applyNumberFormat="1" applyFont="1" applyFill="1" applyBorder="1" applyAlignment="1">
      <alignment horizontal="center"/>
    </xf>
    <xf numFmtId="166" fontId="7" fillId="35" borderId="22" xfId="0" applyNumberFormat="1" applyFont="1" applyFill="1" applyBorder="1" applyAlignment="1">
      <alignment horizontal="right"/>
    </xf>
    <xf numFmtId="166" fontId="9" fillId="35" borderId="19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166" fontId="13" fillId="0" borderId="0" xfId="0" applyNumberFormat="1" applyFont="1" applyFill="1" applyBorder="1" applyAlignment="1">
      <alignment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170" fontId="2" fillId="34" borderId="31" xfId="0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>
      <alignment/>
    </xf>
    <xf numFmtId="170" fontId="11" fillId="34" borderId="16" xfId="0" applyNumberFormat="1" applyFont="1" applyFill="1" applyBorder="1" applyAlignment="1">
      <alignment/>
    </xf>
    <xf numFmtId="0" fontId="0" fillId="34" borderId="35" xfId="0" applyFill="1" applyBorder="1" applyAlignment="1" applyProtection="1">
      <alignment horizontal="left"/>
      <protection/>
    </xf>
    <xf numFmtId="170" fontId="2" fillId="34" borderId="18" xfId="0" applyNumberFormat="1" applyFont="1" applyFill="1" applyBorder="1" applyAlignment="1" applyProtection="1">
      <alignment/>
      <protection/>
    </xf>
    <xf numFmtId="166" fontId="11" fillId="36" borderId="23" xfId="0" applyNumberFormat="1" applyFont="1" applyFill="1" applyBorder="1" applyAlignment="1">
      <alignment/>
    </xf>
    <xf numFmtId="170" fontId="2" fillId="35" borderId="14" xfId="0" applyNumberFormat="1" applyFont="1" applyFill="1" applyBorder="1" applyAlignment="1" applyProtection="1">
      <alignment horizontal="right"/>
      <protection locked="0"/>
    </xf>
    <xf numFmtId="170" fontId="2" fillId="35" borderId="16" xfId="0" applyNumberFormat="1" applyFont="1" applyFill="1" applyBorder="1" applyAlignment="1" applyProtection="1">
      <alignment horizontal="right"/>
      <protection locked="0"/>
    </xf>
    <xf numFmtId="170" fontId="2" fillId="35" borderId="31" xfId="0" applyNumberFormat="1" applyFont="1" applyFill="1" applyBorder="1" applyAlignment="1" applyProtection="1">
      <alignment horizontal="right"/>
      <protection locked="0"/>
    </xf>
    <xf numFmtId="170" fontId="2" fillId="35" borderId="18" xfId="0" applyNumberFormat="1" applyFont="1" applyFill="1" applyBorder="1" applyAlignment="1" applyProtection="1">
      <alignment horizontal="right"/>
      <protection locked="0"/>
    </xf>
    <xf numFmtId="170" fontId="2" fillId="33" borderId="16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left"/>
    </xf>
    <xf numFmtId="0" fontId="19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Loop Performance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575"/>
          <c:w val="0.783"/>
          <c:h val="0.81775"/>
        </c:manualLayout>
      </c:layout>
      <c:lineChart>
        <c:grouping val="standard"/>
        <c:varyColors val="0"/>
        <c:ser>
          <c:idx val="1"/>
          <c:order val="0"/>
          <c:tx>
            <c:strRef>
              <c:f>Calc1!$E$31</c:f>
              <c:strCache>
                <c:ptCount val="1"/>
                <c:pt idx="0">
                  <c:v>dB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Calc1!$A$32:$A$61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Calc1!$E$32:$E$61</c:f>
              <c:numCache>
                <c:ptCount val="30"/>
                <c:pt idx="0">
                  <c:v>-24.38769792357524</c:v>
                </c:pt>
                <c:pt idx="1">
                  <c:v>-14.011751133059871</c:v>
                </c:pt>
                <c:pt idx="2">
                  <c:v>-8.357805418365162</c:v>
                </c:pt>
                <c:pt idx="3">
                  <c:v>-4.966310928715576</c:v>
                </c:pt>
                <c:pt idx="4">
                  <c:v>-2.9644970163976985</c:v>
                </c:pt>
                <c:pt idx="5">
                  <c:v>-1.8104205443962016</c:v>
                </c:pt>
                <c:pt idx="6">
                  <c:v>-1.144569486763535</c:v>
                </c:pt>
                <c:pt idx="7">
                  <c:v>-0.75167366477298</c:v>
                </c:pt>
                <c:pt idx="8">
                  <c:v>-0.5119996645311088</c:v>
                </c:pt>
                <c:pt idx="9">
                  <c:v>-0.36043227411750095</c:v>
                </c:pt>
                <c:pt idx="10">
                  <c:v>-0.26119818587179466</c:v>
                </c:pt>
                <c:pt idx="11">
                  <c:v>-0.1941301071207349</c:v>
                </c:pt>
                <c:pt idx="12">
                  <c:v>-0.1474934186009255</c:v>
                </c:pt>
                <c:pt idx="13">
                  <c:v>-0.11423456805158541</c:v>
                </c:pt>
                <c:pt idx="14">
                  <c:v>-0.08997953937754265</c:v>
                </c:pt>
                <c:pt idx="15">
                  <c:v>-0.07193631666923525</c:v>
                </c:pt>
                <c:pt idx="16">
                  <c:v>-0.05827492026519331</c:v>
                </c:pt>
                <c:pt idx="17">
                  <c:v>-0.04776674225260223</c:v>
                </c:pt>
                <c:pt idx="18">
                  <c:v>-0.03956875390825626</c:v>
                </c:pt>
                <c:pt idx="19">
                  <c:v>-0.0330909574876682</c:v>
                </c:pt>
                <c:pt idx="20">
                  <c:v>-0.027912966190339686</c:v>
                </c:pt>
                <c:pt idx="21">
                  <c:v>-0.02373031363105179</c:v>
                </c:pt>
                <c:pt idx="22">
                  <c:v>-0.02031917804696855</c:v>
                </c:pt>
                <c:pt idx="23">
                  <c:v>-0.01751276171727503</c:v>
                </c:pt>
                <c:pt idx="24">
                  <c:v>-0.015185196128469788</c:v>
                </c:pt>
                <c:pt idx="25">
                  <c:v>-0.013240397115783854</c:v>
                </c:pt>
                <c:pt idx="26">
                  <c:v>-0.011604231963659804</c:v>
                </c:pt>
                <c:pt idx="27">
                  <c:v>-0.010218937904057382</c:v>
                </c:pt>
                <c:pt idx="28">
                  <c:v>-0.009039093759402301</c:v>
                </c:pt>
                <c:pt idx="29">
                  <c:v>-0.008028677802625459</c:v>
                </c:pt>
              </c:numCache>
            </c:numRef>
          </c:val>
          <c:smooth val="0"/>
        </c:ser>
        <c:marker val="1"/>
        <c:axId val="54923015"/>
        <c:axId val="24545088"/>
      </c:lineChart>
      <c:lineChart>
        <c:grouping val="standard"/>
        <c:varyColors val="0"/>
        <c:ser>
          <c:idx val="0"/>
          <c:order val="1"/>
          <c:tx>
            <c:strRef>
              <c:f>Calc1!$I$31</c:f>
              <c:strCache>
                <c:ptCount val="1"/>
                <c:pt idx="0">
                  <c:v>kHz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Frequency</c:v>
              </c:pt>
            </c:strLit>
          </c:cat>
          <c:val>
            <c:numRef>
              <c:f>Calc1!$I$32:$I$61</c:f>
              <c:numCache>
                <c:ptCount val="30"/>
                <c:pt idx="0">
                  <c:v>0.9344455557197054</c:v>
                </c:pt>
                <c:pt idx="1">
                  <c:v>1.3711321255092261</c:v>
                </c:pt>
                <c:pt idx="2">
                  <c:v>1.8882077298553936</c:v>
                </c:pt>
                <c:pt idx="3">
                  <c:v>2.733098404679075</c:v>
                </c:pt>
                <c:pt idx="4">
                  <c:v>4.208370130399055</c:v>
                </c:pt>
                <c:pt idx="5">
                  <c:v>6.69007931234276</c:v>
                </c:pt>
                <c:pt idx="6">
                  <c:v>10.632449268688747</c:v>
                </c:pt>
                <c:pt idx="7">
                  <c:v>16.569580942853083</c:v>
                </c:pt>
                <c:pt idx="8">
                  <c:v>25.11621630915013</c:v>
                </c:pt>
                <c:pt idx="9">
                  <c:v>36.968126183368014</c:v>
                </c:pt>
                <c:pt idx="10">
                  <c:v>52.90232627560971</c:v>
                </c:pt>
                <c:pt idx="11">
                  <c:v>73.77720621212359</c:v>
                </c:pt>
                <c:pt idx="12">
                  <c:v>100.53261088696837</c:v>
                </c:pt>
                <c:pt idx="13">
                  <c:v>134.1898940511065</c:v>
                </c:pt>
                <c:pt idx="14">
                  <c:v>175.85195490911244</c:v>
                </c:pt>
                <c:pt idx="15">
                  <c:v>226.7032638787122</c:v>
                </c:pt>
                <c:pt idx="16">
                  <c:v>288.00988119501335</c:v>
                </c:pt>
                <c:pt idx="17">
                  <c:v>361.119470648384</c:v>
                </c:pt>
                <c:pt idx="18">
                  <c:v>447.46130992683857</c:v>
                </c:pt>
                <c:pt idx="19">
                  <c:v>548.5462985355883</c:v>
                </c:pt>
                <c:pt idx="20">
                  <c:v>665.9669639533406</c:v>
                </c:pt>
                <c:pt idx="21">
                  <c:v>801.3974664826733</c:v>
                </c:pt>
                <c:pt idx="22">
                  <c:v>956.5936031179058</c:v>
                </c:pt>
                <c:pt idx="23">
                  <c:v>1133.3928106632902</c:v>
                </c:pt>
                <c:pt idx="24">
                  <c:v>1333.714168271818</c:v>
                </c:pt>
                <c:pt idx="25">
                  <c:v>1559.5583995310242</c:v>
                </c:pt>
                <c:pt idx="26">
                  <c:v>1813.007874190839</c:v>
                </c:pt>
                <c:pt idx="27">
                  <c:v>2096.2266096058115</c:v>
                </c:pt>
                <c:pt idx="28">
                  <c:v>2411.4602719473864</c:v>
                </c:pt>
                <c:pt idx="29">
                  <c:v>2761.0361772295073</c:v>
                </c:pt>
              </c:numCache>
            </c:numRef>
          </c:val>
          <c:smooth val="1"/>
        </c:ser>
        <c:marker val="1"/>
        <c:axId val="19579201"/>
        <c:axId val="41995082"/>
      </c:lineChart>
      <c:catAx>
        <c:axId val="549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(1-30 MHz)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5088"/>
        <c:crossesAt val="-40"/>
        <c:auto val="0"/>
        <c:lblOffset val="100"/>
        <c:tickLblSkip val="3"/>
        <c:noMultiLvlLbl val="0"/>
      </c:catAx>
      <c:valAx>
        <c:axId val="24545088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Efficiency (dB)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23015"/>
        <c:crossesAt val="1"/>
        <c:crossBetween val="between"/>
        <c:dispUnits/>
        <c:majorUnit val="1"/>
      </c:valAx>
      <c:catAx>
        <c:axId val="19579201"/>
        <c:scaling>
          <c:orientation val="minMax"/>
        </c:scaling>
        <c:axPos val="b"/>
        <c:delete val="1"/>
        <c:majorTickMark val="out"/>
        <c:minorTickMark val="none"/>
        <c:tickLblPos val="none"/>
        <c:crossAx val="41995082"/>
        <c:crosses val="autoZero"/>
        <c:auto val="0"/>
        <c:lblOffset val="100"/>
        <c:tickLblSkip val="1"/>
        <c:noMultiLvlLbl val="0"/>
      </c:catAx>
      <c:valAx>
        <c:axId val="41995082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Bandwidth (kHz)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9201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65"/>
          <c:w val="0.098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152400</xdr:rowOff>
    </xdr:from>
    <xdr:to>
      <xdr:col>16</xdr:col>
      <xdr:colOff>581025</xdr:colOff>
      <xdr:row>31</xdr:row>
      <xdr:rowOff>95250</xdr:rowOff>
    </xdr:to>
    <xdr:graphicFrame macro="[0]!Chart1_Click">
      <xdr:nvGraphicFramePr>
        <xdr:cNvPr id="1" name="Chart 1"/>
        <xdr:cNvGraphicFramePr/>
      </xdr:nvGraphicFramePr>
      <xdr:xfrm>
        <a:off x="6096000" y="381000"/>
        <a:ext cx="54292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5tb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2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24.57421875" style="2" customWidth="1"/>
    <col min="3" max="3" width="12.140625" style="1" customWidth="1"/>
    <col min="4" max="4" width="13.8515625" style="0" bestFit="1" customWidth="1"/>
    <col min="5" max="5" width="8.7109375" style="0" customWidth="1"/>
    <col min="6" max="6" width="4.28125" style="0" bestFit="1" customWidth="1"/>
    <col min="7" max="14" width="9.140625" style="23" customWidth="1"/>
    <col min="15" max="21" width="9.140625" style="38" customWidth="1"/>
  </cols>
  <sheetData>
    <row r="1" spans="1:6" ht="18">
      <c r="A1" s="23"/>
      <c r="B1" s="31"/>
      <c r="C1" s="32" t="s">
        <v>14</v>
      </c>
      <c r="D1" s="33"/>
      <c r="E1" s="23"/>
      <c r="F1" s="23"/>
    </row>
    <row r="2" spans="1:6" ht="12.75">
      <c r="A2" s="23"/>
      <c r="B2" s="24"/>
      <c r="C2" s="34" t="s">
        <v>66</v>
      </c>
      <c r="D2" s="23"/>
      <c r="E2" s="23"/>
      <c r="F2" s="23"/>
    </row>
    <row r="3" spans="1:6" ht="12.75">
      <c r="A3" s="23"/>
      <c r="B3" s="24"/>
      <c r="C3" s="34" t="s">
        <v>67</v>
      </c>
      <c r="D3" s="23"/>
      <c r="E3" s="23"/>
      <c r="F3" s="23"/>
    </row>
    <row r="4" spans="1:6" ht="12.75">
      <c r="A4" s="23"/>
      <c r="B4" s="24"/>
      <c r="C4" s="47" t="s">
        <v>107</v>
      </c>
      <c r="D4" s="23"/>
      <c r="E4" s="23"/>
      <c r="F4" s="23"/>
    </row>
    <row r="5" spans="1:6" ht="12.75">
      <c r="A5" s="23"/>
      <c r="B5" s="24"/>
      <c r="C5" s="52" t="s">
        <v>128</v>
      </c>
      <c r="D5" s="23"/>
      <c r="E5" s="23"/>
      <c r="F5" s="23"/>
    </row>
    <row r="6" spans="1:6" ht="12.75">
      <c r="A6" s="23"/>
      <c r="B6" s="24"/>
      <c r="C6" s="51"/>
      <c r="D6" s="23"/>
      <c r="E6" s="23"/>
      <c r="F6" s="23"/>
    </row>
    <row r="7" spans="1:6" ht="12.75">
      <c r="A7" s="23"/>
      <c r="B7" s="23" t="s">
        <v>0</v>
      </c>
      <c r="C7" s="25"/>
      <c r="D7" s="23"/>
      <c r="E7" s="23"/>
      <c r="F7" s="23"/>
    </row>
    <row r="8" spans="1:6" ht="13.5" thickBot="1">
      <c r="A8" s="23"/>
      <c r="B8" s="23"/>
      <c r="C8" s="25"/>
      <c r="D8" s="112"/>
      <c r="E8" s="112"/>
      <c r="F8" s="112"/>
    </row>
    <row r="9" spans="1:6" ht="12.75">
      <c r="A9" s="35"/>
      <c r="B9" s="4" t="s">
        <v>73</v>
      </c>
      <c r="C9" s="127">
        <v>14.05</v>
      </c>
      <c r="D9" s="109" t="s">
        <v>1</v>
      </c>
      <c r="E9" s="117"/>
      <c r="F9" s="113"/>
    </row>
    <row r="10" spans="1:6" ht="12.75">
      <c r="A10" s="23"/>
      <c r="B10" s="5" t="s">
        <v>74</v>
      </c>
      <c r="C10" s="128">
        <v>7.5</v>
      </c>
      <c r="D10" s="107" t="s">
        <v>2</v>
      </c>
      <c r="E10" s="131">
        <f>0.3048*C10</f>
        <v>2.286</v>
      </c>
      <c r="F10" s="114" t="s">
        <v>28</v>
      </c>
    </row>
    <row r="11" spans="1:6" ht="12.75">
      <c r="A11" s="23"/>
      <c r="B11" s="5" t="s">
        <v>75</v>
      </c>
      <c r="C11" s="128">
        <v>1.3</v>
      </c>
      <c r="D11" s="107" t="s">
        <v>3</v>
      </c>
      <c r="E11" s="131">
        <f>25.4*C11</f>
        <v>33.019999999999996</v>
      </c>
      <c r="F11" s="114" t="s">
        <v>49</v>
      </c>
    </row>
    <row r="12" spans="1:6" ht="12.75">
      <c r="A12" s="23"/>
      <c r="B12" s="6" t="s">
        <v>76</v>
      </c>
      <c r="C12" s="129">
        <v>0</v>
      </c>
      <c r="D12" s="108" t="s">
        <v>11</v>
      </c>
      <c r="E12" s="110"/>
      <c r="F12" s="115"/>
    </row>
    <row r="13" spans="1:6" ht="13.5" thickBot="1">
      <c r="A13" s="23"/>
      <c r="B13" s="7" t="s">
        <v>77</v>
      </c>
      <c r="C13" s="130">
        <v>5</v>
      </c>
      <c r="D13" s="118" t="s">
        <v>4</v>
      </c>
      <c r="E13" s="111"/>
      <c r="F13" s="116"/>
    </row>
    <row r="14" spans="1:6" ht="12.75">
      <c r="A14" s="23"/>
      <c r="B14" s="24"/>
      <c r="C14" s="25"/>
      <c r="D14" s="23"/>
      <c r="E14" s="23"/>
      <c r="F14" s="23"/>
    </row>
    <row r="15" spans="1:6" ht="12.75">
      <c r="A15" s="23"/>
      <c r="B15" s="27" t="s">
        <v>13</v>
      </c>
      <c r="C15" s="25"/>
      <c r="D15" s="23"/>
      <c r="E15" s="23"/>
      <c r="F15" s="23"/>
    </row>
    <row r="16" spans="1:6" ht="13.5" thickBot="1">
      <c r="A16" s="23"/>
      <c r="B16" s="24"/>
      <c r="C16" s="25"/>
      <c r="D16" s="23"/>
      <c r="E16" s="23"/>
      <c r="F16" s="23"/>
    </row>
    <row r="17" spans="1:6" ht="12.75">
      <c r="A17" s="23"/>
      <c r="B17" s="8" t="s">
        <v>54</v>
      </c>
      <c r="C17" s="11">
        <f>Calc1!D21</f>
        <v>136.0733683037808</v>
      </c>
      <c r="D17" s="12" t="s">
        <v>130</v>
      </c>
      <c r="E17" s="13"/>
      <c r="F17" s="14"/>
    </row>
    <row r="18" spans="1:6" ht="12.75">
      <c r="A18" s="23"/>
      <c r="B18" s="9" t="s">
        <v>55</v>
      </c>
      <c r="C18" s="15">
        <f>Calc1!D16</f>
        <v>97.43531020954651</v>
      </c>
      <c r="D18" s="16" t="s">
        <v>7</v>
      </c>
      <c r="E18" s="17">
        <f>Calc1!F16</f>
        <v>-0.11283627822152566</v>
      </c>
      <c r="F18" s="18" t="s">
        <v>53</v>
      </c>
    </row>
    <row r="19" spans="1:6" ht="12.75">
      <c r="A19" s="23"/>
      <c r="B19" s="9" t="s">
        <v>56</v>
      </c>
      <c r="C19" s="15">
        <f>Calc1!B12</f>
        <v>44.178646691106465</v>
      </c>
      <c r="D19" s="16" t="s">
        <v>5</v>
      </c>
      <c r="E19" s="17">
        <f>Calc1!D12</f>
        <v>4.104330580689732</v>
      </c>
      <c r="F19" s="18" t="s">
        <v>29</v>
      </c>
    </row>
    <row r="20" spans="1:6" ht="12.75">
      <c r="A20" s="23"/>
      <c r="B20" s="9" t="s">
        <v>57</v>
      </c>
      <c r="C20" s="17">
        <f>Calc1!D13</f>
        <v>2570.6728662211867</v>
      </c>
      <c r="D20" s="16" t="s">
        <v>12</v>
      </c>
      <c r="E20" s="119"/>
      <c r="F20" s="120"/>
    </row>
    <row r="21" spans="1:6" ht="12.75">
      <c r="A21" s="23"/>
      <c r="B21" s="9" t="s">
        <v>58</v>
      </c>
      <c r="C21" s="17">
        <f>Calc1!D15</f>
        <v>67.66518668041697</v>
      </c>
      <c r="D21" s="16" t="s">
        <v>12</v>
      </c>
      <c r="E21" s="16"/>
      <c r="F21" s="18"/>
    </row>
    <row r="22" spans="1:6" ht="12.75">
      <c r="A22" s="23"/>
      <c r="B22" s="9" t="s">
        <v>59</v>
      </c>
      <c r="C22" s="15">
        <f>Calc1!B11</f>
        <v>23.561944901923447</v>
      </c>
      <c r="D22" s="16" t="s">
        <v>6</v>
      </c>
      <c r="E22" s="123">
        <f>0.3048*C22</f>
        <v>7.181680806106267</v>
      </c>
      <c r="F22" s="122" t="s">
        <v>29</v>
      </c>
    </row>
    <row r="23" spans="1:6" ht="12.75">
      <c r="A23" s="23"/>
      <c r="B23" s="9" t="s">
        <v>129</v>
      </c>
      <c r="C23" s="17">
        <f>Calc1!B26</f>
        <v>33.657428734424435</v>
      </c>
      <c r="D23" s="16" t="s">
        <v>52</v>
      </c>
      <c r="E23" s="17"/>
      <c r="F23" s="18"/>
    </row>
    <row r="24" spans="1:6" ht="12.75">
      <c r="A24" s="23"/>
      <c r="B24" s="9" t="s">
        <v>60</v>
      </c>
      <c r="C24" s="15">
        <f>Calc1!D17</f>
        <v>6.171737319374781</v>
      </c>
      <c r="D24" s="20" t="s">
        <v>37</v>
      </c>
      <c r="E24" s="121"/>
      <c r="F24" s="18"/>
    </row>
    <row r="25" spans="1:6" ht="12.75">
      <c r="A25" s="23"/>
      <c r="B25" s="9" t="s">
        <v>61</v>
      </c>
      <c r="C25" s="15">
        <f>Calc1!B22</f>
        <v>19.320794819577227</v>
      </c>
      <c r="D25" s="16" t="s">
        <v>8</v>
      </c>
      <c r="E25" s="17"/>
      <c r="F25" s="18"/>
    </row>
    <row r="26" spans="1:6" ht="12.75">
      <c r="A26" s="23"/>
      <c r="B26" s="9" t="s">
        <v>62</v>
      </c>
      <c r="C26" s="15">
        <f>Calc1!B20</f>
        <v>103.25312127670483</v>
      </c>
      <c r="D26" s="16"/>
      <c r="E26" s="19"/>
      <c r="F26" s="18"/>
    </row>
    <row r="27" spans="1:6" ht="12.75">
      <c r="A27" s="23"/>
      <c r="B27" s="9" t="s">
        <v>63</v>
      </c>
      <c r="C27" s="15">
        <f>Calc1!D19</f>
        <v>20.791229934742486</v>
      </c>
      <c r="D27" s="16" t="s">
        <v>8</v>
      </c>
      <c r="E27" s="19"/>
      <c r="F27" s="18"/>
    </row>
    <row r="28" spans="1:6" ht="12.75">
      <c r="A28" s="23"/>
      <c r="B28" s="9" t="s">
        <v>64</v>
      </c>
      <c r="C28" s="15">
        <f>Calc1!B23</f>
        <v>530.3571274037946</v>
      </c>
      <c r="D28" s="16" t="s">
        <v>9</v>
      </c>
      <c r="E28" s="19"/>
      <c r="F28" s="18"/>
    </row>
    <row r="29" spans="1:6" ht="13.5" thickBot="1">
      <c r="A29" s="3"/>
      <c r="B29" s="10" t="s">
        <v>65</v>
      </c>
      <c r="C29" s="21">
        <f>Calc1!D24</f>
        <v>7.0714283653839285</v>
      </c>
      <c r="D29" s="22" t="s">
        <v>10</v>
      </c>
      <c r="E29" s="125">
        <f>Calc1!F24</f>
        <v>0.17961428048075176</v>
      </c>
      <c r="F29" s="124" t="s">
        <v>49</v>
      </c>
    </row>
    <row r="30" spans="1:6" ht="12.75">
      <c r="A30" s="23"/>
      <c r="B30" s="24"/>
      <c r="C30" s="25"/>
      <c r="D30" s="23"/>
      <c r="E30" s="23"/>
      <c r="F30" s="23"/>
    </row>
    <row r="31" spans="1:6" ht="12.75">
      <c r="A31" s="23" t="s">
        <v>68</v>
      </c>
      <c r="B31" s="26"/>
      <c r="C31" s="25"/>
      <c r="D31" s="23"/>
      <c r="E31" s="23"/>
      <c r="F31" s="23"/>
    </row>
    <row r="32" spans="1:6" ht="12.75">
      <c r="A32" s="23"/>
      <c r="B32" s="27" t="s">
        <v>69</v>
      </c>
      <c r="C32" s="28"/>
      <c r="D32" s="29"/>
      <c r="E32" s="29"/>
      <c r="F32" s="23"/>
    </row>
    <row r="33" spans="1:6" ht="12.75">
      <c r="A33" s="23"/>
      <c r="B33" s="27" t="s">
        <v>72</v>
      </c>
      <c r="C33" s="28"/>
      <c r="D33" s="29"/>
      <c r="E33" s="29"/>
      <c r="F33" s="23"/>
    </row>
    <row r="34" spans="1:6" ht="12.75">
      <c r="A34" s="23"/>
      <c r="B34" s="27" t="s">
        <v>71</v>
      </c>
      <c r="C34" s="28"/>
      <c r="D34" s="29"/>
      <c r="E34" s="29"/>
      <c r="F34" s="23"/>
    </row>
    <row r="35" spans="1:6" ht="12.75">
      <c r="A35" s="23"/>
      <c r="B35" s="30" t="s">
        <v>70</v>
      </c>
      <c r="C35" s="28"/>
      <c r="D35" s="29"/>
      <c r="E35" s="29"/>
      <c r="F35" s="23"/>
    </row>
    <row r="36" spans="1:6" ht="12.75">
      <c r="A36" s="23"/>
      <c r="B36" s="24"/>
      <c r="C36" s="25"/>
      <c r="D36" s="23"/>
      <c r="E36" s="23"/>
      <c r="F36" s="23"/>
    </row>
    <row r="37" spans="1:6" ht="12.75">
      <c r="A37" s="3"/>
      <c r="C37" s="49"/>
      <c r="D37" s="3"/>
      <c r="E37" s="3"/>
      <c r="F37" s="3"/>
    </row>
    <row r="38" spans="1:6" ht="12.75">
      <c r="A38" s="3"/>
      <c r="B38" s="48"/>
      <c r="C38" s="49"/>
      <c r="D38" s="3"/>
      <c r="E38" s="3"/>
      <c r="F38" s="3"/>
    </row>
    <row r="39" spans="1:6" ht="12.75">
      <c r="A39" s="38"/>
      <c r="B39" s="46"/>
      <c r="C39" s="50"/>
      <c r="D39" s="38"/>
      <c r="E39" s="38"/>
      <c r="F39" s="38"/>
    </row>
    <row r="40" spans="1:6" ht="12.75">
      <c r="A40" s="38"/>
      <c r="B40" s="46"/>
      <c r="C40" s="50"/>
      <c r="D40" s="38"/>
      <c r="E40" s="38"/>
      <c r="F40" s="38"/>
    </row>
    <row r="41" spans="1:6" ht="12.75">
      <c r="A41" s="38"/>
      <c r="B41" s="46"/>
      <c r="C41" s="50"/>
      <c r="D41" s="38"/>
      <c r="E41" s="38"/>
      <c r="F41" s="38"/>
    </row>
    <row r="42" spans="1:6" ht="12.75">
      <c r="A42" s="38"/>
      <c r="B42" s="46"/>
      <c r="C42" s="50"/>
      <c r="D42" s="38"/>
      <c r="E42" s="38"/>
      <c r="F42" s="38"/>
    </row>
    <row r="43" spans="1:6" ht="12.75">
      <c r="A43" s="38"/>
      <c r="B43" s="46"/>
      <c r="C43" s="50"/>
      <c r="D43" s="38"/>
      <c r="E43" s="38"/>
      <c r="F43" s="38"/>
    </row>
    <row r="44" spans="1:6" ht="12.75">
      <c r="A44" s="38"/>
      <c r="B44" s="46"/>
      <c r="C44" s="50"/>
      <c r="D44" s="38"/>
      <c r="E44" s="38"/>
      <c r="F44" s="38"/>
    </row>
    <row r="45" spans="1:6" ht="12.75">
      <c r="A45" s="38"/>
      <c r="B45" s="46"/>
      <c r="C45" s="50"/>
      <c r="D45" s="38"/>
      <c r="E45" s="38"/>
      <c r="F45" s="38"/>
    </row>
    <row r="46" spans="1:6" ht="12.75">
      <c r="A46" s="38"/>
      <c r="B46" s="46"/>
      <c r="C46" s="50"/>
      <c r="D46" s="38"/>
      <c r="E46" s="38"/>
      <c r="F46" s="38"/>
    </row>
    <row r="47" spans="1:6" ht="12.75">
      <c r="A47" s="38"/>
      <c r="B47" s="46"/>
      <c r="C47" s="50"/>
      <c r="D47" s="38"/>
      <c r="E47" s="38"/>
      <c r="F47" s="38"/>
    </row>
    <row r="48" spans="1:6" ht="12.75">
      <c r="A48" s="38"/>
      <c r="B48" s="46"/>
      <c r="C48" s="50"/>
      <c r="D48" s="38"/>
      <c r="E48" s="38"/>
      <c r="F48" s="38"/>
    </row>
    <row r="49" spans="1:6" ht="12.75">
      <c r="A49" s="38"/>
      <c r="B49" s="46"/>
      <c r="C49" s="50"/>
      <c r="D49" s="38"/>
      <c r="E49" s="38"/>
      <c r="F49" s="38"/>
    </row>
    <row r="50" spans="1:6" ht="12.75">
      <c r="A50" s="38"/>
      <c r="B50" s="46"/>
      <c r="C50" s="50"/>
      <c r="D50" s="38"/>
      <c r="E50" s="38"/>
      <c r="F50" s="38"/>
    </row>
    <row r="51" spans="1:6" ht="12.75">
      <c r="A51" s="38"/>
      <c r="B51" s="46"/>
      <c r="C51" s="50"/>
      <c r="D51" s="38"/>
      <c r="E51" s="38"/>
      <c r="F51" s="38"/>
    </row>
    <row r="52" spans="1:6" ht="12.75">
      <c r="A52" s="38"/>
      <c r="B52" s="46"/>
      <c r="C52" s="50"/>
      <c r="D52" s="38"/>
      <c r="E52" s="38"/>
      <c r="F52" s="38"/>
    </row>
  </sheetData>
  <sheetProtection password="8815" sheet="1" objects="1" scenarios="1" selectLockedCells="1"/>
  <protectedRanges>
    <protectedRange sqref="C9:C13" name="Range1"/>
  </protectedRanges>
  <hyperlinks>
    <hyperlink ref="C4" r:id="rId1" display="aa5tb@yahoo.com"/>
  </hyperlinks>
  <printOptions/>
  <pageMargins left="0.75" right="0.75" top="1" bottom="1" header="0.5" footer="0.5"/>
  <pageSetup horizontalDpi="300" verticalDpi="300" orientation="portrait" r:id="rId3"/>
  <headerFooter alignWithMargins="0">
    <oddHeader>&amp;c</oddHeader>
    <oddFooter>&amp;c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8" customWidth="1"/>
    <col min="2" max="2" width="7.421875" style="38" bestFit="1" customWidth="1"/>
    <col min="3" max="3" width="59.140625" style="38" bestFit="1" customWidth="1"/>
    <col min="4" max="16384" width="9.140625" style="38" customWidth="1"/>
  </cols>
  <sheetData>
    <row r="1" ht="15.75">
      <c r="C1" s="103" t="s">
        <v>127</v>
      </c>
    </row>
    <row r="2" ht="15">
      <c r="C2" s="104" t="s">
        <v>126</v>
      </c>
    </row>
    <row r="4" ht="15">
      <c r="C4" s="105" t="s">
        <v>108</v>
      </c>
    </row>
    <row r="5" ht="15">
      <c r="C5" s="105" t="s">
        <v>109</v>
      </c>
    </row>
    <row r="6" ht="15">
      <c r="C6" s="105" t="s">
        <v>110</v>
      </c>
    </row>
    <row r="7" ht="15">
      <c r="C7" s="105" t="s">
        <v>111</v>
      </c>
    </row>
    <row r="8" ht="15">
      <c r="C8" s="105" t="s">
        <v>112</v>
      </c>
    </row>
    <row r="9" ht="15">
      <c r="C9" s="105" t="s">
        <v>113</v>
      </c>
    </row>
    <row r="10" ht="15">
      <c r="C10" s="105" t="s">
        <v>114</v>
      </c>
    </row>
    <row r="11" ht="15">
      <c r="C11" s="105" t="s">
        <v>115</v>
      </c>
    </row>
    <row r="12" ht="15">
      <c r="C12" s="105" t="s">
        <v>116</v>
      </c>
    </row>
    <row r="13" ht="15">
      <c r="C13" s="105" t="s">
        <v>117</v>
      </c>
    </row>
    <row r="14" ht="15">
      <c r="C14" s="105" t="s">
        <v>118</v>
      </c>
    </row>
    <row r="16" ht="15">
      <c r="B16" s="106" t="s">
        <v>119</v>
      </c>
    </row>
    <row r="17" ht="15">
      <c r="C17" s="105" t="s">
        <v>120</v>
      </c>
    </row>
    <row r="18" ht="15">
      <c r="C18" s="105" t="s">
        <v>121</v>
      </c>
    </row>
    <row r="19" ht="15">
      <c r="C19" s="105" t="s">
        <v>122</v>
      </c>
    </row>
    <row r="20" ht="15">
      <c r="C20" s="105" t="s">
        <v>123</v>
      </c>
    </row>
    <row r="21" ht="15">
      <c r="C21" s="105" t="s">
        <v>124</v>
      </c>
    </row>
    <row r="22" ht="15">
      <c r="C22" s="105" t="s">
        <v>125</v>
      </c>
    </row>
    <row r="24" spans="1:2" ht="15">
      <c r="A24" s="133" t="s">
        <v>132</v>
      </c>
      <c r="B24" s="132" t="s">
        <v>134</v>
      </c>
    </row>
    <row r="25" ht="15">
      <c r="B25" s="132" t="s">
        <v>133</v>
      </c>
    </row>
    <row r="26" ht="15">
      <c r="B26" s="132" t="s">
        <v>131</v>
      </c>
    </row>
  </sheetData>
  <sheetProtection password="8815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140625" style="38" bestFit="1" customWidth="1"/>
    <col min="2" max="13" width="13.7109375" style="53" customWidth="1"/>
    <col min="14" max="14" width="10.57421875" style="38" bestFit="1" customWidth="1"/>
    <col min="15" max="15" width="12.8515625" style="38" bestFit="1" customWidth="1"/>
    <col min="16" max="16384" width="9.140625" style="38" customWidth="1"/>
  </cols>
  <sheetData>
    <row r="1" ht="12.75">
      <c r="A1" s="43"/>
    </row>
    <row r="2" ht="12.75">
      <c r="A2" s="46" t="s">
        <v>16</v>
      </c>
    </row>
    <row r="3" spans="1:5" ht="12.75">
      <c r="A3" s="42" t="s">
        <v>18</v>
      </c>
      <c r="B3" s="94">
        <f>PI()</f>
        <v>3.141592653589793</v>
      </c>
      <c r="C3" s="75"/>
      <c r="D3" s="76"/>
      <c r="E3" s="54"/>
    </row>
    <row r="4" spans="1:5" ht="12.75">
      <c r="A4" s="40" t="s">
        <v>19</v>
      </c>
      <c r="B4" s="65">
        <f>(Main!C10)*12</f>
        <v>90</v>
      </c>
      <c r="C4" s="76" t="s">
        <v>3</v>
      </c>
      <c r="D4" s="81">
        <f>B4*0.0254</f>
        <v>2.286</v>
      </c>
      <c r="E4" s="55" t="s">
        <v>28</v>
      </c>
    </row>
    <row r="5" spans="1:5" ht="12.75">
      <c r="A5" s="40" t="s">
        <v>20</v>
      </c>
      <c r="B5" s="65">
        <f>Main!C11</f>
        <v>1.3</v>
      </c>
      <c r="C5" s="76" t="s">
        <v>3</v>
      </c>
      <c r="D5" s="76">
        <f>B5*0.0254</f>
        <v>0.03302</v>
      </c>
      <c r="E5" s="54" t="s">
        <v>28</v>
      </c>
    </row>
    <row r="6" spans="1:5" ht="12.75">
      <c r="A6" s="40" t="s">
        <v>30</v>
      </c>
      <c r="B6" s="65">
        <f>Main!C12</f>
        <v>0</v>
      </c>
      <c r="C6" s="76" t="s">
        <v>12</v>
      </c>
      <c r="D6" s="76">
        <f>B6/1000</f>
        <v>0</v>
      </c>
      <c r="E6" s="54" t="s">
        <v>17</v>
      </c>
    </row>
    <row r="7" spans="1:5" ht="12.75">
      <c r="A7" s="40" t="s">
        <v>21</v>
      </c>
      <c r="B7" s="64">
        <f>Main!C13</f>
        <v>5</v>
      </c>
      <c r="C7" s="75" t="s">
        <v>4</v>
      </c>
      <c r="D7" s="76"/>
      <c r="E7" s="54"/>
    </row>
    <row r="8" spans="1:5" ht="12.75">
      <c r="A8" s="40" t="s">
        <v>25</v>
      </c>
      <c r="B8" s="65">
        <f>Main!C9</f>
        <v>14.05</v>
      </c>
      <c r="C8" s="76" t="s">
        <v>1</v>
      </c>
      <c r="D8" s="93">
        <f>B8*1000000</f>
        <v>14050000</v>
      </c>
      <c r="E8" s="54" t="s">
        <v>26</v>
      </c>
    </row>
    <row r="9" spans="1:2" ht="12.75">
      <c r="A9" s="43"/>
      <c r="B9" s="102">
        <f>(96*B11)/(B3*B5)</f>
        <v>553.8461538461537</v>
      </c>
    </row>
    <row r="10" ht="12.75">
      <c r="A10" s="46" t="s">
        <v>15</v>
      </c>
    </row>
    <row r="11" spans="1:7" ht="12.75">
      <c r="A11" s="39" t="s">
        <v>22</v>
      </c>
      <c r="B11" s="66">
        <f>(Main!C10*B3)</f>
        <v>23.561944901923447</v>
      </c>
      <c r="C11" s="57" t="s">
        <v>33</v>
      </c>
      <c r="D11" s="56">
        <f>B11*0.3048</f>
        <v>7.181680806106267</v>
      </c>
      <c r="E11" s="56" t="s">
        <v>28</v>
      </c>
      <c r="F11" s="79"/>
      <c r="G11" s="83"/>
    </row>
    <row r="12" spans="1:7" ht="12.75">
      <c r="A12" s="40" t="s">
        <v>23</v>
      </c>
      <c r="B12" s="66">
        <f>B3*((B4/24)*(B4/24))</f>
        <v>44.178646691106465</v>
      </c>
      <c r="C12" s="57" t="s">
        <v>5</v>
      </c>
      <c r="D12" s="56">
        <f>B12*0.09290304</f>
        <v>4.104330580689732</v>
      </c>
      <c r="E12" s="56" t="s">
        <v>29</v>
      </c>
      <c r="F12" s="56"/>
      <c r="G12" s="84"/>
    </row>
    <row r="13" spans="1:7" ht="12.75">
      <c r="A13" s="40" t="s">
        <v>27</v>
      </c>
      <c r="B13" s="67">
        <f>(0.0000000338)*(((B8*B8)*B12)*((B8*B8)*B12))</f>
        <v>2.570672866221187</v>
      </c>
      <c r="C13" s="56" t="s">
        <v>17</v>
      </c>
      <c r="D13" s="57">
        <f>B13*1000</f>
        <v>2570.6728662211867</v>
      </c>
      <c r="E13" s="57" t="s">
        <v>12</v>
      </c>
      <c r="F13" s="56"/>
      <c r="G13" s="84"/>
    </row>
    <row r="14" spans="1:7" ht="12.75">
      <c r="A14" s="40" t="s">
        <v>31</v>
      </c>
      <c r="B14" s="67">
        <f>(0.000996)*SQRT(B8)*(B11/B5)</f>
        <v>0.06766518668041696</v>
      </c>
      <c r="C14" s="56" t="s">
        <v>17</v>
      </c>
      <c r="D14" s="57">
        <f>B14*1000</f>
        <v>67.66518668041697</v>
      </c>
      <c r="E14" s="58" t="s">
        <v>12</v>
      </c>
      <c r="F14" s="56"/>
      <c r="G14" s="84"/>
    </row>
    <row r="15" spans="1:7" ht="12.75">
      <c r="A15" s="40" t="s">
        <v>32</v>
      </c>
      <c r="B15" s="68">
        <f>D6+B14</f>
        <v>0.06766518668041696</v>
      </c>
      <c r="C15" s="77" t="s">
        <v>17</v>
      </c>
      <c r="D15" s="80">
        <f>B15*1000</f>
        <v>67.66518668041697</v>
      </c>
      <c r="E15" s="57" t="s">
        <v>12</v>
      </c>
      <c r="F15" s="56"/>
      <c r="G15" s="84"/>
    </row>
    <row r="16" spans="1:7" ht="12.75">
      <c r="A16" s="40" t="s">
        <v>34</v>
      </c>
      <c r="B16" s="69">
        <f>B13/(B13+B15)</f>
        <v>0.9743531020954651</v>
      </c>
      <c r="C16" s="78"/>
      <c r="D16" s="59">
        <f>B16*100</f>
        <v>97.43531020954651</v>
      </c>
      <c r="E16" s="59" t="s">
        <v>7</v>
      </c>
      <c r="F16" s="58">
        <f>(LOG10(B16))*10</f>
        <v>-0.11283627822152566</v>
      </c>
      <c r="G16" s="85" t="s">
        <v>53</v>
      </c>
    </row>
    <row r="17" spans="1:7" ht="12.75">
      <c r="A17" s="40" t="s">
        <v>35</v>
      </c>
      <c r="B17" s="67">
        <f>(0.000000019)*B11*((7.353*(LOG(B9,10))-6.386))</f>
        <v>6.171737319374781E-06</v>
      </c>
      <c r="C17" s="56" t="s">
        <v>36</v>
      </c>
      <c r="D17" s="57">
        <f>B17*1000000</f>
        <v>6.171737319374781</v>
      </c>
      <c r="E17" s="57" t="s">
        <v>37</v>
      </c>
      <c r="F17" s="56"/>
      <c r="G17" s="84"/>
    </row>
    <row r="18" spans="1:7" ht="12.75">
      <c r="A18" s="40" t="s">
        <v>38</v>
      </c>
      <c r="B18" s="70">
        <f>2*B3*B8*B17*1000000</f>
        <v>544.8332778903891</v>
      </c>
      <c r="C18" s="57" t="s">
        <v>17</v>
      </c>
      <c r="D18" s="56"/>
      <c r="E18" s="56"/>
      <c r="F18" s="56"/>
      <c r="G18" s="84"/>
    </row>
    <row r="19" spans="1:7" ht="12.75">
      <c r="A19" s="40" t="s">
        <v>39</v>
      </c>
      <c r="B19" s="67">
        <f>1/(2*B3*B8*B18*1000000)</f>
        <v>2.0791229934742486E-11</v>
      </c>
      <c r="C19" s="56" t="s">
        <v>40</v>
      </c>
      <c r="D19" s="57">
        <f>B19*1000000000000</f>
        <v>20.791229934742486</v>
      </c>
      <c r="E19" s="57" t="s">
        <v>41</v>
      </c>
      <c r="F19" s="56"/>
      <c r="G19" s="84"/>
    </row>
    <row r="20" spans="1:7" ht="12.75">
      <c r="A20" s="40" t="s">
        <v>42</v>
      </c>
      <c r="B20" s="69">
        <f>B18/(2*(B13+B15))</f>
        <v>103.25312127670483</v>
      </c>
      <c r="C20" s="56"/>
      <c r="D20" s="56"/>
      <c r="E20" s="56"/>
      <c r="F20" s="56"/>
      <c r="G20" s="84"/>
    </row>
    <row r="21" spans="1:7" ht="12.75">
      <c r="A21" s="40" t="s">
        <v>43</v>
      </c>
      <c r="B21" s="67">
        <f>D8/B20</f>
        <v>136073.3683037808</v>
      </c>
      <c r="C21" s="56" t="s">
        <v>26</v>
      </c>
      <c r="D21" s="57">
        <f>B21/1000</f>
        <v>136.0733683037808</v>
      </c>
      <c r="E21" s="57" t="s">
        <v>44</v>
      </c>
      <c r="F21" s="56"/>
      <c r="G21" s="84"/>
    </row>
    <row r="22" spans="1:7" ht="12.75">
      <c r="A22" s="40" t="s">
        <v>45</v>
      </c>
      <c r="B22" s="71">
        <f>0.82*B11</f>
        <v>19.320794819577227</v>
      </c>
      <c r="C22" s="59" t="s">
        <v>41</v>
      </c>
      <c r="D22" s="56"/>
      <c r="E22" s="56"/>
      <c r="F22" s="56"/>
      <c r="G22" s="84"/>
    </row>
    <row r="23" spans="1:7" ht="12.75">
      <c r="A23" s="40" t="s">
        <v>46</v>
      </c>
      <c r="B23" s="72">
        <f>SQRT(B7*B18*B20)</f>
        <v>530.3571274037946</v>
      </c>
      <c r="C23" s="57" t="s">
        <v>9</v>
      </c>
      <c r="D23" s="56"/>
      <c r="E23" s="56"/>
      <c r="F23" s="56"/>
      <c r="G23" s="84"/>
    </row>
    <row r="24" spans="1:7" ht="12.75">
      <c r="A24" s="40" t="s">
        <v>47</v>
      </c>
      <c r="B24" s="73">
        <f>B23/75000</f>
        <v>0.007071428365383928</v>
      </c>
      <c r="C24" s="79" t="s">
        <v>24</v>
      </c>
      <c r="D24" s="57">
        <f>B24*1000</f>
        <v>7.0714283653839285</v>
      </c>
      <c r="E24" s="57" t="s">
        <v>48</v>
      </c>
      <c r="F24" s="57">
        <f>25.4*B24</f>
        <v>0.17961428048075176</v>
      </c>
      <c r="G24" s="126" t="s">
        <v>49</v>
      </c>
    </row>
    <row r="25" spans="1:7" ht="12.75">
      <c r="A25" s="40" t="s">
        <v>50</v>
      </c>
      <c r="B25" s="67">
        <f>D25*3.28083</f>
        <v>70.00497282491102</v>
      </c>
      <c r="C25" s="56" t="s">
        <v>33</v>
      </c>
      <c r="D25" s="57">
        <f>299793000/D8</f>
        <v>21.337580071174376</v>
      </c>
      <c r="E25" s="57" t="s">
        <v>28</v>
      </c>
      <c r="F25" s="56"/>
      <c r="G25" s="84"/>
    </row>
    <row r="26" spans="1:7" ht="12.75">
      <c r="A26" s="40" t="s">
        <v>51</v>
      </c>
      <c r="B26" s="71">
        <f>(D11/D25)*100</f>
        <v>33.657428734424435</v>
      </c>
      <c r="C26" s="80" t="s">
        <v>7</v>
      </c>
      <c r="D26" s="56"/>
      <c r="E26" s="56"/>
      <c r="F26" s="56"/>
      <c r="G26" s="84"/>
    </row>
    <row r="27" ht="12.75">
      <c r="A27" s="41"/>
    </row>
    <row r="28" spans="1:13" ht="12.75">
      <c r="A28" s="101"/>
      <c r="B28" s="74" t="s">
        <v>79</v>
      </c>
      <c r="C28" s="60" t="s">
        <v>81</v>
      </c>
      <c r="D28" s="60" t="s">
        <v>82</v>
      </c>
      <c r="E28" s="95"/>
      <c r="F28" s="60" t="s">
        <v>93</v>
      </c>
      <c r="G28" s="95" t="s">
        <v>95</v>
      </c>
      <c r="H28" s="60" t="s">
        <v>84</v>
      </c>
      <c r="I28" s="95"/>
      <c r="J28" s="86" t="s">
        <v>87</v>
      </c>
      <c r="K28" s="60" t="s">
        <v>90</v>
      </c>
      <c r="L28" s="60"/>
      <c r="M28" s="60"/>
    </row>
    <row r="29" spans="1:13" ht="12.75">
      <c r="A29" s="36" t="s">
        <v>78</v>
      </c>
      <c r="B29" s="61" t="s">
        <v>80</v>
      </c>
      <c r="C29" s="61" t="s">
        <v>80</v>
      </c>
      <c r="D29" s="61" t="s">
        <v>80</v>
      </c>
      <c r="E29" s="96" t="s">
        <v>83</v>
      </c>
      <c r="F29" s="61" t="s">
        <v>94</v>
      </c>
      <c r="G29" s="96" t="s">
        <v>87</v>
      </c>
      <c r="H29" s="61" t="s">
        <v>85</v>
      </c>
      <c r="I29" s="96" t="s">
        <v>86</v>
      </c>
      <c r="J29" s="87" t="s">
        <v>88</v>
      </c>
      <c r="K29" s="61" t="s">
        <v>89</v>
      </c>
      <c r="L29" s="61" t="s">
        <v>91</v>
      </c>
      <c r="M29" s="61" t="s">
        <v>92</v>
      </c>
    </row>
    <row r="30" spans="1:13" ht="12.75">
      <c r="A30" s="44" t="s">
        <v>40</v>
      </c>
      <c r="B30" s="62" t="s">
        <v>96</v>
      </c>
      <c r="C30" s="62" t="s">
        <v>97</v>
      </c>
      <c r="D30" s="82" t="s">
        <v>98</v>
      </c>
      <c r="E30" s="97" t="s">
        <v>99</v>
      </c>
      <c r="F30" s="62" t="s">
        <v>100</v>
      </c>
      <c r="G30" s="97" t="s">
        <v>101</v>
      </c>
      <c r="H30" s="62" t="s">
        <v>102</v>
      </c>
      <c r="I30" s="100" t="s">
        <v>103</v>
      </c>
      <c r="J30" s="88" t="s">
        <v>104</v>
      </c>
      <c r="K30" s="62" t="s">
        <v>105</v>
      </c>
      <c r="L30" s="62" t="s">
        <v>106</v>
      </c>
      <c r="M30" s="89" t="s">
        <v>52</v>
      </c>
    </row>
    <row r="31" spans="1:13" ht="12.75">
      <c r="A31" s="37" t="s">
        <v>1</v>
      </c>
      <c r="B31" s="63" t="s">
        <v>12</v>
      </c>
      <c r="C31" s="63" t="s">
        <v>12</v>
      </c>
      <c r="D31" s="63" t="s">
        <v>12</v>
      </c>
      <c r="E31" s="98" t="s">
        <v>53</v>
      </c>
      <c r="F31" s="63" t="s">
        <v>17</v>
      </c>
      <c r="G31" s="98" t="s">
        <v>41</v>
      </c>
      <c r="H31" s="63"/>
      <c r="I31" s="98" t="s">
        <v>44</v>
      </c>
      <c r="J31" s="90" t="s">
        <v>9</v>
      </c>
      <c r="K31" s="63" t="s">
        <v>48</v>
      </c>
      <c r="L31" s="63" t="s">
        <v>28</v>
      </c>
      <c r="M31" s="91"/>
    </row>
    <row r="32" spans="1:13" ht="12.75">
      <c r="A32" s="45">
        <v>1</v>
      </c>
      <c r="B32" s="92">
        <f>((0.0000000338)*(((A32*A32)*B12)*((A32*A32)*B12)))*1000</f>
        <v>0.0659692454328673</v>
      </c>
      <c r="C32" s="92">
        <f>((0.000996)*SQRT(A32)*(B11/B5))*1000</f>
        <v>18.052074709473654</v>
      </c>
      <c r="D32" s="92">
        <f>C32+B6</f>
        <v>18.052074709473654</v>
      </c>
      <c r="E32" s="99">
        <f aca="true" t="shared" si="0" ref="E32:E61">10*LOG(B32/(B32+D32))</f>
        <v>-24.38769792357524</v>
      </c>
      <c r="F32" s="92">
        <f>2*B3*A32*B17*1000000</f>
        <v>38.77816924486755</v>
      </c>
      <c r="G32" s="99">
        <f>(1/(2*B3*A32*F32*1000000))*1000000000000</f>
        <v>4104.240767193003</v>
      </c>
      <c r="H32" s="92">
        <f aca="true" t="shared" si="1" ref="H32:H61">F32/((2*(B32+D32))/1000)</f>
        <v>1070.1533052183065</v>
      </c>
      <c r="I32" s="99">
        <f>(A32/H32)*1000</f>
        <v>0.9344455557197054</v>
      </c>
      <c r="J32" s="92">
        <f>SQRT(B7*F32*H32)</f>
        <v>455.5139184904776</v>
      </c>
      <c r="K32" s="92">
        <f>1000*(J32/75000)</f>
        <v>6.073518913206368</v>
      </c>
      <c r="L32" s="92">
        <f>299.793/A32</f>
        <v>299.793</v>
      </c>
      <c r="M32" s="92">
        <f>(D11/L32*100)</f>
        <v>2.3955465291405296</v>
      </c>
    </row>
    <row r="33" spans="1:13" ht="12.75">
      <c r="A33" s="45">
        <v>2</v>
      </c>
      <c r="B33" s="92">
        <f>((0.0000000338)*(((A33*A33)*B12)*((A33*A33)*B12)))*1000</f>
        <v>1.0555079269258767</v>
      </c>
      <c r="C33" s="92">
        <f>((0.000996)*SQRT(A33)*(B11/B5))*1000</f>
        <v>25.529488883109995</v>
      </c>
      <c r="D33" s="92">
        <f>C33+B6</f>
        <v>25.529488883109995</v>
      </c>
      <c r="E33" s="99">
        <f t="shared" si="0"/>
        <v>-14.011751133059871</v>
      </c>
      <c r="F33" s="92">
        <f>2*B3*A33*B17*1000000</f>
        <v>77.5563384897351</v>
      </c>
      <c r="G33" s="99">
        <f>(1/(2*B3*A33*F33*1000000))*1000000000000</f>
        <v>1026.0601917982508</v>
      </c>
      <c r="H33" s="92">
        <f t="shared" si="1"/>
        <v>1458.648632608778</v>
      </c>
      <c r="I33" s="99">
        <f aca="true" t="shared" si="2" ref="I33:I61">(A33/H33)*1000</f>
        <v>1.3711321255092261</v>
      </c>
      <c r="J33" s="92">
        <f>SQRT(B7*F33*H33)</f>
        <v>752.0885821769788</v>
      </c>
      <c r="K33" s="92">
        <f aca="true" t="shared" si="3" ref="K33:K61">1000*(J33/75000)</f>
        <v>10.027847762359716</v>
      </c>
      <c r="L33" s="92">
        <f aca="true" t="shared" si="4" ref="L33:L61">299.793/A33</f>
        <v>149.8965</v>
      </c>
      <c r="M33" s="92">
        <f>(D11/L33)*100</f>
        <v>4.791093058281059</v>
      </c>
    </row>
    <row r="34" spans="1:13" ht="12.75">
      <c r="A34" s="45">
        <v>3</v>
      </c>
      <c r="B34" s="92">
        <f>((0.0000000338)*(((A34*A34)*B12)*((A34*A34)*B12)))*1000</f>
        <v>5.34350888006225</v>
      </c>
      <c r="C34" s="92">
        <f>((0.000996)*SQRT(A34)*(B11/B5))*1000</f>
        <v>31.26711057883755</v>
      </c>
      <c r="D34" s="92">
        <f>C34+B6</f>
        <v>31.26711057883755</v>
      </c>
      <c r="E34" s="99">
        <f t="shared" si="0"/>
        <v>-8.357805418365162</v>
      </c>
      <c r="F34" s="92">
        <f>2*B3*A34*B17*1000000</f>
        <v>116.33450773460264</v>
      </c>
      <c r="G34" s="99">
        <f>(1/(2*B3*A34*F34*1000000))*1000000000000</f>
        <v>456.0267519103338</v>
      </c>
      <c r="H34" s="92">
        <f t="shared" si="1"/>
        <v>1588.8082399862603</v>
      </c>
      <c r="I34" s="99">
        <f t="shared" si="2"/>
        <v>1.8882077298553936</v>
      </c>
      <c r="J34" s="92">
        <f>SQRT(B7*F34*H34)</f>
        <v>961.3355930253545</v>
      </c>
      <c r="K34" s="92">
        <f t="shared" si="3"/>
        <v>12.817807907004726</v>
      </c>
      <c r="L34" s="92">
        <f t="shared" si="4"/>
        <v>99.931</v>
      </c>
      <c r="M34" s="92">
        <f>(D11/L34)*100</f>
        <v>7.186639587421588</v>
      </c>
    </row>
    <row r="35" spans="1:13" ht="12.75">
      <c r="A35" s="45">
        <v>4</v>
      </c>
      <c r="B35" s="92">
        <f>((0.0000000338)*(((A35*A35)*B12)*((A35*A35)*B12)))*1000</f>
        <v>16.888126830814027</v>
      </c>
      <c r="C35" s="92">
        <f>((0.000996)*SQRT(A35)*(B11/B5))*1000</f>
        <v>36.10414941894731</v>
      </c>
      <c r="D35" s="92">
        <f>C35+B6</f>
        <v>36.10414941894731</v>
      </c>
      <c r="E35" s="99">
        <f t="shared" si="0"/>
        <v>-4.966310928715576</v>
      </c>
      <c r="F35" s="92">
        <f>2*B3*A35*B17*1000000</f>
        <v>155.1126769794702</v>
      </c>
      <c r="G35" s="99">
        <f>(1/(2*B3*A35*F35*1000000))*1000000000000</f>
        <v>256.5150479495627</v>
      </c>
      <c r="H35" s="92">
        <f t="shared" si="1"/>
        <v>1463.5404247252804</v>
      </c>
      <c r="I35" s="99">
        <f t="shared" si="2"/>
        <v>2.733098404679075</v>
      </c>
      <c r="J35" s="92">
        <f>SQRT(B7*F35*H35)</f>
        <v>1065.3958727787738</v>
      </c>
      <c r="K35" s="92">
        <f t="shared" si="3"/>
        <v>14.205278303716984</v>
      </c>
      <c r="L35" s="92">
        <f t="shared" si="4"/>
        <v>74.94825</v>
      </c>
      <c r="M35" s="92">
        <f>(D11/L35)*100</f>
        <v>9.582186116562118</v>
      </c>
    </row>
    <row r="36" spans="1:13" ht="12.75">
      <c r="A36" s="45">
        <v>5</v>
      </c>
      <c r="B36" s="92">
        <f>((0.0000000338)*(((A36*A36)*B12)*((A36*A36)*B12)))*1000</f>
        <v>41.23077839554206</v>
      </c>
      <c r="C36" s="92">
        <f>((0.000996)*SQRT(A36)*(B11/B5))*1000</f>
        <v>40.36566618528786</v>
      </c>
      <c r="D36" s="92">
        <f>C36+B6</f>
        <v>40.36566618528786</v>
      </c>
      <c r="E36" s="99">
        <f t="shared" si="0"/>
        <v>-2.9644970163976985</v>
      </c>
      <c r="F36" s="92">
        <f>2*B3*A36*B17*1000000</f>
        <v>193.89084622433774</v>
      </c>
      <c r="G36" s="99">
        <f>(1/(2*B3*A36*F36*1000000))*1000000000000</f>
        <v>164.16963068772017</v>
      </c>
      <c r="H36" s="92">
        <f t="shared" si="1"/>
        <v>1188.108423230796</v>
      </c>
      <c r="I36" s="99">
        <f t="shared" si="2"/>
        <v>4.208370130399055</v>
      </c>
      <c r="J36" s="92">
        <f>SQRT(B7*F36*H36)</f>
        <v>1073.2272536291712</v>
      </c>
      <c r="K36" s="92">
        <f t="shared" si="3"/>
        <v>14.309696715055615</v>
      </c>
      <c r="L36" s="92">
        <f t="shared" si="4"/>
        <v>59.958600000000004</v>
      </c>
      <c r="M36" s="92">
        <f>(D11/L36)*100</f>
        <v>11.977732645702647</v>
      </c>
    </row>
    <row r="37" spans="1:13" ht="12.75">
      <c r="A37" s="45">
        <v>6</v>
      </c>
      <c r="B37" s="92">
        <f>((0.0000000338)*(((A37*A37)*B12)*((A37*A37)*B12)))*1000</f>
        <v>85.496142080996</v>
      </c>
      <c r="C37" s="92">
        <f>((0.000996)*SQRT(A37)*(B11/B5))*1000</f>
        <v>44.218371836811336</v>
      </c>
      <c r="D37" s="92">
        <f>C37+B6</f>
        <v>44.218371836811336</v>
      </c>
      <c r="E37" s="99">
        <f t="shared" si="0"/>
        <v>-1.8104205443962016</v>
      </c>
      <c r="F37" s="92">
        <f>2*B3*A37*B17*1000000</f>
        <v>232.66901546920528</v>
      </c>
      <c r="G37" s="99">
        <f>(1/(2*B3*A37*F37*1000000))*1000000000000</f>
        <v>114.00668797758345</v>
      </c>
      <c r="H37" s="92">
        <f t="shared" si="1"/>
        <v>896.8503540653682</v>
      </c>
      <c r="I37" s="99">
        <f t="shared" si="2"/>
        <v>6.69007931234276</v>
      </c>
      <c r="J37" s="92">
        <f>SQRT(B7*F37*H37)</f>
        <v>1021.4433143929166</v>
      </c>
      <c r="K37" s="92">
        <f t="shared" si="3"/>
        <v>13.619244191905555</v>
      </c>
      <c r="L37" s="92">
        <f t="shared" si="4"/>
        <v>49.9655</v>
      </c>
      <c r="M37" s="92">
        <f>(D11/L37)*100</f>
        <v>14.373279174843177</v>
      </c>
    </row>
    <row r="38" spans="1:13" ht="12.75">
      <c r="A38" s="45">
        <v>7</v>
      </c>
      <c r="B38" s="92">
        <f>((0.0000000338)*(((A38*A38)*B12)*((A38*A38)*B12)))*1000</f>
        <v>158.39215828431435</v>
      </c>
      <c r="C38" s="92">
        <f>((0.000996)*SQRT(A38)*(B11/B5))*1000</f>
        <v>47.76130033002586</v>
      </c>
      <c r="D38" s="92">
        <f>C38+B6</f>
        <v>47.76130033002586</v>
      </c>
      <c r="E38" s="99">
        <f t="shared" si="0"/>
        <v>-1.144569486763535</v>
      </c>
      <c r="F38" s="92">
        <f>2*B3*A38*B17*1000000</f>
        <v>271.4471847140728</v>
      </c>
      <c r="G38" s="99">
        <f>(1/(2*B3*A38*F38*1000000))*1000000000000</f>
        <v>83.76001565700008</v>
      </c>
      <c r="H38" s="92">
        <f t="shared" si="1"/>
        <v>658.361946820112</v>
      </c>
      <c r="I38" s="99">
        <f t="shared" si="2"/>
        <v>10.632449268688747</v>
      </c>
      <c r="J38" s="92">
        <f>SQRT(B7*F38*H38)</f>
        <v>945.2790513578399</v>
      </c>
      <c r="K38" s="92">
        <f t="shared" si="3"/>
        <v>12.603720684771199</v>
      </c>
      <c r="L38" s="92">
        <f t="shared" si="4"/>
        <v>42.82757142857143</v>
      </c>
      <c r="M38" s="92">
        <f>(D11/L38)*100</f>
        <v>16.7688257039837</v>
      </c>
    </row>
    <row r="39" spans="1:13" ht="12.75">
      <c r="A39" s="45">
        <v>8</v>
      </c>
      <c r="B39" s="92">
        <f>((0.0000000338)*(((A39*A39)*B12)*((A39*A39)*B12)))*1000</f>
        <v>270.21002929302443</v>
      </c>
      <c r="C39" s="92">
        <f>((0.000996)*SQRT(A39)*(B11/B5))*1000</f>
        <v>51.05897776621999</v>
      </c>
      <c r="D39" s="92">
        <f>C39+B6</f>
        <v>51.05897776621999</v>
      </c>
      <c r="E39" s="99">
        <f t="shared" si="0"/>
        <v>-0.75167366477298</v>
      </c>
      <c r="F39" s="92">
        <f>2*B3*A39*B17*1000000</f>
        <v>310.2253539589404</v>
      </c>
      <c r="G39" s="99">
        <f>(1/(2*B3*A39*F39*1000000))*1000000000000</f>
        <v>64.12876198739067</v>
      </c>
      <c r="H39" s="92">
        <f t="shared" si="1"/>
        <v>482.81245178084123</v>
      </c>
      <c r="I39" s="99">
        <f t="shared" si="2"/>
        <v>16.569580942853083</v>
      </c>
      <c r="J39" s="92">
        <f>SQRT(B7*F39*H39)</f>
        <v>865.3920029370947</v>
      </c>
      <c r="K39" s="92">
        <f t="shared" si="3"/>
        <v>11.538560039161263</v>
      </c>
      <c r="L39" s="92">
        <f t="shared" si="4"/>
        <v>37.474125</v>
      </c>
      <c r="M39" s="92">
        <f>(D11/L39)*100</f>
        <v>19.164372233124237</v>
      </c>
    </row>
    <row r="40" spans="1:13" ht="12.75">
      <c r="A40" s="45">
        <v>9</v>
      </c>
      <c r="B40" s="92">
        <f>((0.0000000338)*(((A40*A40)*B12)*((A40*A40)*B12)))*1000</f>
        <v>432.82421928504226</v>
      </c>
      <c r="C40" s="92">
        <f>((0.000996)*SQRT(A40)*(B11/B5))*1000</f>
        <v>54.156224128420966</v>
      </c>
      <c r="D40" s="92">
        <f>C40+B6</f>
        <v>54.156224128420966</v>
      </c>
      <c r="E40" s="99">
        <f t="shared" si="0"/>
        <v>-0.5119996645311088</v>
      </c>
      <c r="F40" s="92">
        <f>2*B3*A40*B17*1000000</f>
        <v>349.00352320380796</v>
      </c>
      <c r="G40" s="99">
        <f>(1/(2*B3*A40*F40*1000000))*1000000000000</f>
        <v>50.6696391011482</v>
      </c>
      <c r="H40" s="92">
        <f t="shared" si="1"/>
        <v>358.3342287397483</v>
      </c>
      <c r="I40" s="99">
        <f t="shared" si="2"/>
        <v>25.11621630915013</v>
      </c>
      <c r="J40" s="92">
        <f>SQRT(B7*F40*H40)</f>
        <v>790.7588390738715</v>
      </c>
      <c r="K40" s="92">
        <f t="shared" si="3"/>
        <v>10.54345118765162</v>
      </c>
      <c r="L40" s="92">
        <f t="shared" si="4"/>
        <v>33.31033333333333</v>
      </c>
      <c r="M40" s="92">
        <f>(D11/L40)*100</f>
        <v>21.559918762264765</v>
      </c>
    </row>
    <row r="41" spans="1:13" ht="12.75">
      <c r="A41" s="45">
        <v>10</v>
      </c>
      <c r="B41" s="92">
        <f>((0.0000000338)*(((A41*A41)*B12)*((A41*A41)*B12)))*1000</f>
        <v>659.692454328673</v>
      </c>
      <c r="C41" s="92">
        <f>((0.000996)*SQRT(A41)*(B11/B5))*1000</f>
        <v>57.08567257345913</v>
      </c>
      <c r="D41" s="92">
        <f>C41+B6</f>
        <v>57.08567257345913</v>
      </c>
      <c r="E41" s="99">
        <f t="shared" si="0"/>
        <v>-0.36043227411750095</v>
      </c>
      <c r="F41" s="92">
        <f>2*B3*A41*B17*1000000</f>
        <v>387.78169244867547</v>
      </c>
      <c r="G41" s="99">
        <f>(1/(2*B3*A41*F41*1000000))*1000000000000</f>
        <v>41.04240767193004</v>
      </c>
      <c r="H41" s="92">
        <f t="shared" si="1"/>
        <v>270.5032965533159</v>
      </c>
      <c r="I41" s="99">
        <f t="shared" si="2"/>
        <v>36.968126183368014</v>
      </c>
      <c r="J41" s="92">
        <f>SQRT(B7*F41*H41)</f>
        <v>724.2106949997038</v>
      </c>
      <c r="K41" s="92">
        <f t="shared" si="3"/>
        <v>9.65614259999605</v>
      </c>
      <c r="L41" s="92">
        <f t="shared" si="4"/>
        <v>29.979300000000002</v>
      </c>
      <c r="M41" s="92">
        <f>(D11/L41)*100</f>
        <v>23.955465291405293</v>
      </c>
    </row>
    <row r="42" spans="1:13" ht="12.75">
      <c r="A42" s="45">
        <v>11</v>
      </c>
      <c r="B42" s="92">
        <f>((0.0000000338)*(((A42*A42)*B12)*((A42*A42)*B12)))*1000</f>
        <v>965.85572238261</v>
      </c>
      <c r="C42" s="92">
        <f>((0.000996)*SQRT(A42)*(B11/B5))*1000</f>
        <v>59.871958498788075</v>
      </c>
      <c r="D42" s="92">
        <f>C42+B6</f>
        <v>59.871958498788075</v>
      </c>
      <c r="E42" s="99">
        <f t="shared" si="0"/>
        <v>-0.26119818587179466</v>
      </c>
      <c r="F42" s="92">
        <f>2*B3*A42*B17*1000000</f>
        <v>426.559861693543</v>
      </c>
      <c r="G42" s="99">
        <f>(1/(2*B3*A42*F42*1000000))*1000000000000</f>
        <v>33.91934518341326</v>
      </c>
      <c r="H42" s="92">
        <f t="shared" si="1"/>
        <v>207.93036477625526</v>
      </c>
      <c r="I42" s="99">
        <f t="shared" si="2"/>
        <v>52.90232627560971</v>
      </c>
      <c r="J42" s="92">
        <f>SQRT(B7*F42*H42)</f>
        <v>665.9382390313962</v>
      </c>
      <c r="K42" s="92">
        <f t="shared" si="3"/>
        <v>8.879176520418616</v>
      </c>
      <c r="L42" s="92">
        <f t="shared" si="4"/>
        <v>27.25390909090909</v>
      </c>
      <c r="M42" s="92">
        <f>(D11/L42)*100</f>
        <v>26.35101182054582</v>
      </c>
    </row>
    <row r="43" spans="1:13" ht="12.75">
      <c r="A43" s="45">
        <v>12</v>
      </c>
      <c r="B43" s="92">
        <f>((0.0000000338)*(((A43*A43)*B12)*((A43*A43)*B12)))*1000</f>
        <v>1367.938273295936</v>
      </c>
      <c r="C43" s="92">
        <f>((0.000996)*SQRT(A43)*(B11/B5))*1000</f>
        <v>62.5342211576751</v>
      </c>
      <c r="D43" s="92">
        <f>C43+B6</f>
        <v>62.5342211576751</v>
      </c>
      <c r="E43" s="99">
        <f t="shared" si="0"/>
        <v>-0.1941301071207349</v>
      </c>
      <c r="F43" s="92">
        <f>2*B3*A43*B17*1000000</f>
        <v>465.33803093841055</v>
      </c>
      <c r="G43" s="99">
        <f>(1/(2*B3*A43*F43*1000000))*1000000000000</f>
        <v>28.501671994395863</v>
      </c>
      <c r="H43" s="92">
        <f t="shared" si="1"/>
        <v>162.65186249392124</v>
      </c>
      <c r="I43" s="99">
        <f t="shared" si="2"/>
        <v>73.77720621212359</v>
      </c>
      <c r="J43" s="92">
        <f>SQRT(B7*F43*H43)</f>
        <v>615.175167823712</v>
      </c>
      <c r="K43" s="92">
        <f t="shared" si="3"/>
        <v>8.202335570982825</v>
      </c>
      <c r="L43" s="92">
        <f t="shared" si="4"/>
        <v>24.98275</v>
      </c>
      <c r="M43" s="92">
        <f>(D11/L43)*100</f>
        <v>28.746558349686353</v>
      </c>
    </row>
    <row r="44" spans="1:13" ht="12.75">
      <c r="A44" s="45">
        <v>13</v>
      </c>
      <c r="B44" s="92">
        <f>((0.0000000338)*(((A44*A44)*B12)*((A44*A44)*B12)))*1000</f>
        <v>1884.1476188081228</v>
      </c>
      <c r="C44" s="92">
        <f>((0.000996)*SQRT(A44)*(B11/B5))*1000</f>
        <v>65.08768099351396</v>
      </c>
      <c r="D44" s="92">
        <f>C44+B6</f>
        <v>65.08768099351396</v>
      </c>
      <c r="E44" s="99">
        <f t="shared" si="0"/>
        <v>-0.1474934186009255</v>
      </c>
      <c r="F44" s="92">
        <f>2*B3*A44*B17*1000000</f>
        <v>504.1162001832781</v>
      </c>
      <c r="G44" s="99">
        <f>(1/(2*B3*A44*F44*1000000))*1000000000000</f>
        <v>24.28544832658582</v>
      </c>
      <c r="H44" s="92">
        <f t="shared" si="1"/>
        <v>129.3112740761927</v>
      </c>
      <c r="I44" s="99">
        <f t="shared" si="2"/>
        <v>100.53261088696837</v>
      </c>
      <c r="J44" s="92">
        <f>SQRT(B7*F44*H44)</f>
        <v>570.9111495151794</v>
      </c>
      <c r="K44" s="92">
        <f t="shared" si="3"/>
        <v>7.612148660202393</v>
      </c>
      <c r="L44" s="92">
        <f t="shared" si="4"/>
        <v>23.061</v>
      </c>
      <c r="M44" s="92">
        <f>(D11/L44)*100</f>
        <v>31.14210487882688</v>
      </c>
    </row>
    <row r="45" spans="1:13" ht="12.75">
      <c r="A45" s="45">
        <v>14</v>
      </c>
      <c r="B45" s="92">
        <f>((0.0000000338)*(((A45*A45)*B12)*((A45*A45)*B12)))*1000</f>
        <v>2534.2745325490296</v>
      </c>
      <c r="C45" s="92">
        <f>((0.000996)*SQRT(A45)*(B11/B5))*1000</f>
        <v>67.54467868329715</v>
      </c>
      <c r="D45" s="92">
        <f>C45+B6</f>
        <v>67.54467868329715</v>
      </c>
      <c r="E45" s="99">
        <f t="shared" si="0"/>
        <v>-0.11423456805158541</v>
      </c>
      <c r="F45" s="92">
        <f>2*B3*A45*B17*1000000</f>
        <v>542.8943694281456</v>
      </c>
      <c r="G45" s="99">
        <f>(1/(2*B3*A45*F45*1000000))*1000000000000</f>
        <v>20.94000391425002</v>
      </c>
      <c r="H45" s="92">
        <f t="shared" si="1"/>
        <v>104.3297641673975</v>
      </c>
      <c r="I45" s="99">
        <f t="shared" si="2"/>
        <v>134.1898940511065</v>
      </c>
      <c r="J45" s="92">
        <f>SQRT(B7*F45*H45)</f>
        <v>532.1655829262468</v>
      </c>
      <c r="K45" s="92">
        <f t="shared" si="3"/>
        <v>7.09554110568329</v>
      </c>
      <c r="L45" s="92">
        <f t="shared" si="4"/>
        <v>21.413785714285716</v>
      </c>
      <c r="M45" s="92">
        <f>(D11/L45)*100</f>
        <v>33.5376514079674</v>
      </c>
    </row>
    <row r="46" spans="1:13" ht="12.75">
      <c r="A46" s="45">
        <v>15</v>
      </c>
      <c r="B46" s="92">
        <f>((0.0000000338)*(((A46*A46)*B12)*((A46*A46)*B12)))*1000</f>
        <v>3339.6930500389058</v>
      </c>
      <c r="C46" s="92">
        <f>((0.000996)*SQRT(A46)*(B11/B5))*1000</f>
        <v>69.91538471428356</v>
      </c>
      <c r="D46" s="92">
        <f>C46+B6</f>
        <v>69.91538471428356</v>
      </c>
      <c r="E46" s="99">
        <f t="shared" si="0"/>
        <v>-0.08997953937754265</v>
      </c>
      <c r="F46" s="92">
        <f>2*B3*A46*B17*1000000</f>
        <v>581.6725386730132</v>
      </c>
      <c r="G46" s="99">
        <f>(1/(2*B3*A46*F46*1000000))*1000000000000</f>
        <v>18.241070076413354</v>
      </c>
      <c r="H46" s="92">
        <f t="shared" si="1"/>
        <v>85.29902330487381</v>
      </c>
      <c r="I46" s="99">
        <f t="shared" si="2"/>
        <v>175.85195490911244</v>
      </c>
      <c r="J46" s="92">
        <f>SQRT(B7*F46*H46)</f>
        <v>498.07679845619424</v>
      </c>
      <c r="K46" s="92">
        <f t="shared" si="3"/>
        <v>6.641023979415924</v>
      </c>
      <c r="L46" s="92">
        <f t="shared" si="4"/>
        <v>19.9862</v>
      </c>
      <c r="M46" s="92">
        <f>(D11/L46)*100</f>
        <v>35.93319793710794</v>
      </c>
    </row>
    <row r="47" spans="1:13" ht="12.75">
      <c r="A47" s="45">
        <v>16</v>
      </c>
      <c r="B47" s="92">
        <f>((0.0000000338)*(((A47*A47)*B12)*((A47*A47)*B12)))*1000</f>
        <v>4323.360468688391</v>
      </c>
      <c r="C47" s="92">
        <f>((0.000996)*SQRT(A47)*(B11/B5))*1000</f>
        <v>72.20829883789462</v>
      </c>
      <c r="D47" s="92">
        <f>C47+B6</f>
        <v>72.20829883789462</v>
      </c>
      <c r="E47" s="99">
        <f t="shared" si="0"/>
        <v>-0.07193631666923525</v>
      </c>
      <c r="F47" s="92">
        <f>2*B3*A47*B17*1000000</f>
        <v>620.4507079178808</v>
      </c>
      <c r="G47" s="99">
        <f>(1/(2*B3*A47*F47*1000000))*1000000000000</f>
        <v>16.03219049684767</v>
      </c>
      <c r="H47" s="92">
        <f t="shared" si="1"/>
        <v>70.57684007831537</v>
      </c>
      <c r="I47" s="99">
        <f t="shared" si="2"/>
        <v>226.7032638787122</v>
      </c>
      <c r="J47" s="92">
        <f>SQRT(B7*F47*H47)</f>
        <v>467.9179970315196</v>
      </c>
      <c r="K47" s="92">
        <f t="shared" si="3"/>
        <v>6.238906627086927</v>
      </c>
      <c r="L47" s="92">
        <f t="shared" si="4"/>
        <v>18.7370625</v>
      </c>
      <c r="M47" s="92">
        <f>(D11/L47)*100</f>
        <v>38.32874446624847</v>
      </c>
    </row>
    <row r="48" spans="1:13" ht="12.75">
      <c r="A48" s="45">
        <v>17</v>
      </c>
      <c r="B48" s="92">
        <f>((0.0000000338)*(((A48*A48)*B12)*((A48*A48)*B12)))*1000</f>
        <v>5509.817347798509</v>
      </c>
      <c r="C48" s="92">
        <f>((0.000996)*SQRT(A48)*(B11/B5))*1000</f>
        <v>74.43061078870113</v>
      </c>
      <c r="D48" s="92">
        <f>C48+B6</f>
        <v>74.43061078870113</v>
      </c>
      <c r="E48" s="99">
        <f t="shared" si="0"/>
        <v>-0.05827492026519331</v>
      </c>
      <c r="F48" s="92">
        <f>2*B3*A48*B17*1000000</f>
        <v>659.2288771627483</v>
      </c>
      <c r="G48" s="99">
        <f>(1/(2*B3*A48*F48*1000000))*1000000000000</f>
        <v>14.201525145996552</v>
      </c>
      <c r="H48" s="92">
        <f t="shared" si="1"/>
        <v>59.02575262162339</v>
      </c>
      <c r="I48" s="99">
        <f t="shared" si="2"/>
        <v>288.00988119501335</v>
      </c>
      <c r="J48" s="92">
        <f>SQRT(B7*F48*H48)</f>
        <v>441.0866163489827</v>
      </c>
      <c r="K48" s="92">
        <f t="shared" si="3"/>
        <v>5.881154884653103</v>
      </c>
      <c r="L48" s="92">
        <f t="shared" si="4"/>
        <v>17.634882352941176</v>
      </c>
      <c r="M48" s="92">
        <f>(D11/L48)*100</f>
        <v>40.724290995389</v>
      </c>
    </row>
    <row r="49" spans="1:13" ht="12.75">
      <c r="A49" s="45">
        <v>18</v>
      </c>
      <c r="B49" s="92">
        <f>((0.0000000338)*(((A49*A49)*B12)*((A49*A49)*B12)))*1000</f>
        <v>6925.187508560676</v>
      </c>
      <c r="C49" s="92">
        <f>((0.000996)*SQRT(A49)*(B11/B5))*1000</f>
        <v>76.58846664932997</v>
      </c>
      <c r="D49" s="92">
        <f>C49+B6</f>
        <v>76.58846664932997</v>
      </c>
      <c r="E49" s="99">
        <f t="shared" si="0"/>
        <v>-0.04776674225260223</v>
      </c>
      <c r="F49" s="92">
        <f>2*B3*A49*B17*1000000</f>
        <v>698.0070464076159</v>
      </c>
      <c r="G49" s="99">
        <f>(1/(2*B3*A49*F49*1000000))*1000000000000</f>
        <v>12.66740977528705</v>
      </c>
      <c r="H49" s="92">
        <f t="shared" si="1"/>
        <v>49.844999959933766</v>
      </c>
      <c r="I49" s="99">
        <f t="shared" si="2"/>
        <v>361.119470648384</v>
      </c>
      <c r="J49" s="92">
        <f>SQRT(B7*F49*H49)</f>
        <v>417.0860894361085</v>
      </c>
      <c r="K49" s="92">
        <f t="shared" si="3"/>
        <v>5.561147859148114</v>
      </c>
      <c r="L49" s="92">
        <f t="shared" si="4"/>
        <v>16.655166666666666</v>
      </c>
      <c r="M49" s="92">
        <f>(D11/L49)*100</f>
        <v>43.11983752452953</v>
      </c>
    </row>
    <row r="50" spans="1:13" ht="12.75">
      <c r="A50" s="45">
        <v>19</v>
      </c>
      <c r="B50" s="92">
        <f>((0.0000000338)*(((A50*A50)*B12)*((A50*A50)*B12)))*1000</f>
        <v>8597.178034056697</v>
      </c>
      <c r="C50" s="92">
        <f>((0.000996)*SQRT(A50)*(B11/B5))*1000</f>
        <v>78.68716937984203</v>
      </c>
      <c r="D50" s="92">
        <f>C50+B6</f>
        <v>78.68716937984203</v>
      </c>
      <c r="E50" s="99">
        <f t="shared" si="0"/>
        <v>-0.03956875390825626</v>
      </c>
      <c r="F50" s="92">
        <f>2*B3*A50*B17*1000000</f>
        <v>736.7852156524834</v>
      </c>
      <c r="G50" s="99">
        <f>(1/(2*B3*A50*F50*1000000))*1000000000000</f>
        <v>11.369087997764552</v>
      </c>
      <c r="H50" s="92">
        <f t="shared" si="1"/>
        <v>42.46177172973137</v>
      </c>
      <c r="I50" s="99">
        <f t="shared" si="2"/>
        <v>447.46130992683857</v>
      </c>
      <c r="J50" s="92">
        <f>SQRT(B7*F50*H50)</f>
        <v>395.50730486854883</v>
      </c>
      <c r="K50" s="92">
        <f t="shared" si="3"/>
        <v>5.2734307315806515</v>
      </c>
      <c r="L50" s="92">
        <f t="shared" si="4"/>
        <v>15.778578947368421</v>
      </c>
      <c r="M50" s="92">
        <f>(D11/L50)*100</f>
        <v>45.515384053670054</v>
      </c>
    </row>
    <row r="51" spans="1:13" ht="12.75">
      <c r="A51" s="45">
        <v>20</v>
      </c>
      <c r="B51" s="92">
        <f>((0.0000000338)*(((A51*A51)*B12)*((A51*A51)*B12)))*1000</f>
        <v>10555.079269258767</v>
      </c>
      <c r="C51" s="92">
        <f>((0.000996)*SQRT(A51)*(B11/B5))*1000</f>
        <v>80.73133237057571</v>
      </c>
      <c r="D51" s="92">
        <f>C51+B6</f>
        <v>80.73133237057571</v>
      </c>
      <c r="E51" s="99">
        <f t="shared" si="0"/>
        <v>-0.0330909574876682</v>
      </c>
      <c r="F51" s="92">
        <f>2*B3*A51*B17*1000000</f>
        <v>775.5633848973509</v>
      </c>
      <c r="G51" s="99">
        <f>(1/(2*B3*A51*F51*1000000))*1000000000000</f>
        <v>10.26060191798251</v>
      </c>
      <c r="H51" s="92">
        <f t="shared" si="1"/>
        <v>36.46000356468078</v>
      </c>
      <c r="I51" s="99">
        <f t="shared" si="2"/>
        <v>548.5462985355883</v>
      </c>
      <c r="J51" s="92">
        <f>SQRT(B7*F51*H51)</f>
        <v>376.01225896234627</v>
      </c>
      <c r="K51" s="92">
        <f t="shared" si="3"/>
        <v>5.013496786164617</v>
      </c>
      <c r="L51" s="92">
        <f t="shared" si="4"/>
        <v>14.989650000000001</v>
      </c>
      <c r="M51" s="92">
        <f>(D11/L51)*100</f>
        <v>47.910930582810586</v>
      </c>
    </row>
    <row r="52" spans="1:13" ht="12.75">
      <c r="A52" s="45">
        <v>21</v>
      </c>
      <c r="B52" s="92">
        <f>((0.0000000338)*(((A52*A52)*B12)*((A52*A52)*B12)))*1000</f>
        <v>12829.764821029465</v>
      </c>
      <c r="C52" s="92">
        <f>((0.000996)*SQRT(A52)*(B11/B5))*1000</f>
        <v>82.72499880716099</v>
      </c>
      <c r="D52" s="92">
        <f>C52+B6</f>
        <v>82.72499880716099</v>
      </c>
      <c r="E52" s="99">
        <f t="shared" si="0"/>
        <v>-0.027912966190339686</v>
      </c>
      <c r="F52" s="92">
        <f>2*B3*A52*B17*1000000</f>
        <v>814.3415541422186</v>
      </c>
      <c r="G52" s="99">
        <f>(1/(2*B3*A52*F52*1000000))*1000000000000</f>
        <v>9.30666840633334</v>
      </c>
      <c r="H52" s="92">
        <f t="shared" si="1"/>
        <v>31.53309568891966</v>
      </c>
      <c r="I52" s="99">
        <f t="shared" si="2"/>
        <v>665.9669639533406</v>
      </c>
      <c r="J52" s="92">
        <f>SQRT(B7*F52*H52)</f>
        <v>358.32045818115193</v>
      </c>
      <c r="K52" s="92">
        <f t="shared" si="3"/>
        <v>4.777606109082026</v>
      </c>
      <c r="L52" s="92">
        <f t="shared" si="4"/>
        <v>14.275857142857143</v>
      </c>
      <c r="M52" s="92">
        <f>(D11/L52)*100</f>
        <v>50.30647711195112</v>
      </c>
    </row>
    <row r="53" spans="1:13" ht="12.75">
      <c r="A53" s="45">
        <v>22</v>
      </c>
      <c r="B53" s="92">
        <f>((0.0000000338)*(((A53*A53)*B12)*((A53*A53)*B12)))*1000</f>
        <v>15453.69155812176</v>
      </c>
      <c r="C53" s="92">
        <f>((0.000996)*SQRT(A53)*(B11/B5))*1000</f>
        <v>84.67173571482519</v>
      </c>
      <c r="D53" s="92">
        <f>C53+B6</f>
        <v>84.67173571482519</v>
      </c>
      <c r="E53" s="99">
        <f t="shared" si="0"/>
        <v>-0.02373031363105179</v>
      </c>
      <c r="F53" s="92">
        <f>2*B3*A53*B17*1000000</f>
        <v>853.119723387086</v>
      </c>
      <c r="G53" s="99">
        <f>(1/(2*B3*A53*F53*1000000))*1000000000000</f>
        <v>8.479836295853316</v>
      </c>
      <c r="H53" s="92">
        <f t="shared" si="1"/>
        <v>27.452045857541595</v>
      </c>
      <c r="I53" s="99">
        <f t="shared" si="2"/>
        <v>801.3974664826733</v>
      </c>
      <c r="J53" s="92">
        <f>SQRT(B7*F53*H53)</f>
        <v>342.19790888019384</v>
      </c>
      <c r="K53" s="92">
        <f t="shared" si="3"/>
        <v>4.562638785069251</v>
      </c>
      <c r="L53" s="92">
        <f t="shared" si="4"/>
        <v>13.626954545454545</v>
      </c>
      <c r="M53" s="92">
        <f>(D11/L53)*100</f>
        <v>52.70202364109164</v>
      </c>
    </row>
    <row r="54" spans="1:13" ht="12.75">
      <c r="A54" s="45">
        <v>23</v>
      </c>
      <c r="B54" s="92">
        <f>((0.0000000338)*(((A54*A54)*B12)*((A54*A54)*B12)))*1000</f>
        <v>18460.899611179015</v>
      </c>
      <c r="C54" s="92">
        <f>((0.000996)*SQRT(A54)*(B11/B5))*1000</f>
        <v>86.57470895289006</v>
      </c>
      <c r="D54" s="92">
        <f>C54+B6</f>
        <v>86.57470895289006</v>
      </c>
      <c r="E54" s="99">
        <f t="shared" si="0"/>
        <v>-0.02031917804696855</v>
      </c>
      <c r="F54" s="92">
        <f>2*B3*A54*B17*1000000</f>
        <v>891.8978926319536</v>
      </c>
      <c r="G54" s="99">
        <f>(1/(2*B3*A54*F54*1000000))*1000000000000</f>
        <v>7.758489162935736</v>
      </c>
      <c r="H54" s="92">
        <f t="shared" si="1"/>
        <v>24.043648133370503</v>
      </c>
      <c r="I54" s="99">
        <f t="shared" si="2"/>
        <v>956.5936031179058</v>
      </c>
      <c r="J54" s="92">
        <f>SQRT(B7*F54*H54)</f>
        <v>327.4483096714454</v>
      </c>
      <c r="K54" s="92">
        <f t="shared" si="3"/>
        <v>4.3659774622859375</v>
      </c>
      <c r="L54" s="92">
        <f t="shared" si="4"/>
        <v>13.034478260869566</v>
      </c>
      <c r="M54" s="92">
        <f>(D11/L54)*100</f>
        <v>55.09757017023217</v>
      </c>
    </row>
    <row r="55" spans="1:13" ht="12.75">
      <c r="A55" s="45">
        <v>24</v>
      </c>
      <c r="B55" s="92">
        <f>((0.0000000338)*(((A55*A55)*B12)*((A55*A55)*B12)))*1000</f>
        <v>21887.012372734975</v>
      </c>
      <c r="C55" s="92">
        <f>((0.000996)*SQRT(A55)*(B11/B5))*1000</f>
        <v>88.43674367362267</v>
      </c>
      <c r="D55" s="92">
        <f>C55+B6</f>
        <v>88.43674367362267</v>
      </c>
      <c r="E55" s="99">
        <f t="shared" si="0"/>
        <v>-0.01751276171727503</v>
      </c>
      <c r="F55" s="92">
        <f>2*B3*A55*B17*1000000</f>
        <v>930.6760618768211</v>
      </c>
      <c r="G55" s="99">
        <f>(1/(2*B3*A55*F55*1000000))*1000000000000</f>
        <v>7.125417998598966</v>
      </c>
      <c r="H55" s="92">
        <f t="shared" si="1"/>
        <v>21.17535930544203</v>
      </c>
      <c r="I55" s="99">
        <f t="shared" si="2"/>
        <v>1133.3928106632902</v>
      </c>
      <c r="J55" s="92">
        <f>SQRT(B7*F55*H55)</f>
        <v>313.9060369538589</v>
      </c>
      <c r="K55" s="92">
        <f t="shared" si="3"/>
        <v>4.185413826051452</v>
      </c>
      <c r="L55" s="92">
        <f t="shared" si="4"/>
        <v>12.491375</v>
      </c>
      <c r="M55" s="92">
        <f>(D11/L55)*100</f>
        <v>57.493116699372706</v>
      </c>
    </row>
    <row r="56" spans="1:13" ht="12.75">
      <c r="A56" s="45">
        <v>25</v>
      </c>
      <c r="B56" s="92">
        <f>((0.0000000338)*(((A56*A56)*B12)*((A56*A56)*B12)))*1000</f>
        <v>25769.236497213784</v>
      </c>
      <c r="C56" s="92">
        <f>((0.000996)*SQRT(A56)*(B11/B5))*1000</f>
        <v>90.26037354736827</v>
      </c>
      <c r="D56" s="92">
        <f>C56+B6</f>
        <v>90.26037354736827</v>
      </c>
      <c r="E56" s="99">
        <f t="shared" si="0"/>
        <v>-0.015185196128469788</v>
      </c>
      <c r="F56" s="92">
        <f>2*B3*A56*B17*1000000</f>
        <v>969.4542311216887</v>
      </c>
      <c r="G56" s="99">
        <f>(1/(2*B3*A56*F56*1000000))*1000000000000</f>
        <v>6.566785227508807</v>
      </c>
      <c r="H56" s="92">
        <f t="shared" si="1"/>
        <v>18.74464603790943</v>
      </c>
      <c r="I56" s="99">
        <f t="shared" si="2"/>
        <v>1333.714168271818</v>
      </c>
      <c r="J56" s="92">
        <f>SQRT(B7*F56*H56)</f>
        <v>301.4305592697072</v>
      </c>
      <c r="K56" s="92">
        <f t="shared" si="3"/>
        <v>4.019074123596096</v>
      </c>
      <c r="L56" s="92">
        <f t="shared" si="4"/>
        <v>11.99172</v>
      </c>
      <c r="M56" s="92">
        <f>(D11/L56)*100</f>
        <v>59.88866322851323</v>
      </c>
    </row>
    <row r="57" spans="1:13" ht="12.75">
      <c r="A57" s="45">
        <v>26</v>
      </c>
      <c r="B57" s="92">
        <f>((0.0000000338)*(((A57*A57)*B12)*((A57*A57)*B12)))*1000</f>
        <v>30146.361900929965</v>
      </c>
      <c r="C57" s="92">
        <f>((0.000996)*SQRT(A57)*(B11/B5))*1000</f>
        <v>92.04788120444096</v>
      </c>
      <c r="D57" s="92">
        <f>C57+B6</f>
        <v>92.04788120444096</v>
      </c>
      <c r="E57" s="99">
        <f t="shared" si="0"/>
        <v>-0.013240397115783854</v>
      </c>
      <c r="F57" s="92">
        <f>2*B3*A57*B17*1000000</f>
        <v>1008.2324003665562</v>
      </c>
      <c r="G57" s="99">
        <f>(1/(2*B3*A57*F57*1000000))*1000000000000</f>
        <v>6.071362081646455</v>
      </c>
      <c r="H57" s="92">
        <f t="shared" si="1"/>
        <v>16.671385956318453</v>
      </c>
      <c r="I57" s="99">
        <f t="shared" si="2"/>
        <v>1559.5583995310242</v>
      </c>
      <c r="J57" s="92">
        <f>SQRT(B7*F57*H57)</f>
        <v>289.9019789530269</v>
      </c>
      <c r="K57" s="92">
        <f t="shared" si="3"/>
        <v>3.8653597193736924</v>
      </c>
      <c r="L57" s="92">
        <f t="shared" si="4"/>
        <v>11.5305</v>
      </c>
      <c r="M57" s="92">
        <f>(D11/L57)*100</f>
        <v>62.28420975765376</v>
      </c>
    </row>
    <row r="58" spans="1:13" ht="12.75">
      <c r="A58" s="45">
        <v>27</v>
      </c>
      <c r="B58" s="92">
        <f>((0.0000000338)*(((A58*A58)*B12)*((A58*A58)*B12)))*1000</f>
        <v>35058.76176208843</v>
      </c>
      <c r="C58" s="92">
        <f>((0.000996)*SQRT(A58)*(B11/B5))*1000</f>
        <v>93.80133173651265</v>
      </c>
      <c r="D58" s="92">
        <f>C58+B6</f>
        <v>93.80133173651265</v>
      </c>
      <c r="E58" s="99">
        <f t="shared" si="0"/>
        <v>-0.011604231963659804</v>
      </c>
      <c r="F58" s="92">
        <f>2*B3*A58*B17*1000000</f>
        <v>1047.0105696114238</v>
      </c>
      <c r="G58" s="99">
        <f>(1/(2*B3*A58*F58*1000000))*1000000000000</f>
        <v>5.629959900127577</v>
      </c>
      <c r="H58" s="92">
        <f t="shared" si="1"/>
        <v>14.892378783545182</v>
      </c>
      <c r="I58" s="99">
        <f t="shared" si="2"/>
        <v>1813.007874190839</v>
      </c>
      <c r="J58" s="92">
        <f>SQRT(B7*F58*H58)</f>
        <v>279.2174599933601</v>
      </c>
      <c r="K58" s="92">
        <f t="shared" si="3"/>
        <v>3.7228994665781343</v>
      </c>
      <c r="L58" s="92">
        <f t="shared" si="4"/>
        <v>11.103444444444445</v>
      </c>
      <c r="M58" s="92">
        <f>(D11/L58)*100</f>
        <v>64.67975628679429</v>
      </c>
    </row>
    <row r="59" spans="1:13" ht="12.75">
      <c r="A59" s="45">
        <v>28</v>
      </c>
      <c r="B59" s="92">
        <f>((0.0000000338)*(((A59*A59)*B12)*((A59*A59)*B12)))*1000</f>
        <v>40548.39252078447</v>
      </c>
      <c r="C59" s="92">
        <f>((0.000996)*SQRT(A59)*(B11/B5))*1000</f>
        <v>95.52260066005172</v>
      </c>
      <c r="D59" s="92">
        <f>C59+B6</f>
        <v>95.52260066005172</v>
      </c>
      <c r="E59" s="99">
        <f t="shared" si="0"/>
        <v>-0.010218937904057382</v>
      </c>
      <c r="F59" s="92">
        <f>2*B3*A59*B17*1000000</f>
        <v>1085.7887388562913</v>
      </c>
      <c r="G59" s="99">
        <f>(1/(2*B3*A59*F59*1000000))*1000000000000</f>
        <v>5.235000978562505</v>
      </c>
      <c r="H59" s="92">
        <f t="shared" si="1"/>
        <v>13.357334494129578</v>
      </c>
      <c r="I59" s="99">
        <f t="shared" si="2"/>
        <v>2096.2266096058115</v>
      </c>
      <c r="J59" s="92">
        <f>SQRT(B7*F59*H59)</f>
        <v>269.2883526525292</v>
      </c>
      <c r="K59" s="92">
        <f t="shared" si="3"/>
        <v>3.59051136870039</v>
      </c>
      <c r="L59" s="92">
        <f t="shared" si="4"/>
        <v>10.706892857142858</v>
      </c>
      <c r="M59" s="92">
        <f>(D11/L59)*100</f>
        <v>67.0753028159348</v>
      </c>
    </row>
    <row r="60" spans="1:13" ht="12.75">
      <c r="A60" s="45">
        <v>29</v>
      </c>
      <c r="B60" s="92">
        <f>((0.0000000338)*(((A60*A60)*B12)*((A60*A60)*B12)))*1000</f>
        <v>46658.79387900382</v>
      </c>
      <c r="C60" s="92">
        <f>((0.000996)*SQRT(A60)*(B11/B5))*1000</f>
        <v>97.21339742122036</v>
      </c>
      <c r="D60" s="92">
        <f>C60+B6</f>
        <v>97.21339742122036</v>
      </c>
      <c r="E60" s="99">
        <f t="shared" si="0"/>
        <v>-0.009039093759402301</v>
      </c>
      <c r="F60" s="92">
        <f>2*B3*A60*B17*1000000</f>
        <v>1124.566908101159</v>
      </c>
      <c r="G60" s="99">
        <f>(1/(2*B3*A60*F60*1000000))*1000000000000</f>
        <v>4.88019116194174</v>
      </c>
      <c r="H60" s="92">
        <f t="shared" si="1"/>
        <v>12.025908258725288</v>
      </c>
      <c r="I60" s="99">
        <f t="shared" si="2"/>
        <v>2411.4602719473864</v>
      </c>
      <c r="J60" s="92">
        <f>SQRT(B7*F60*H60)</f>
        <v>260.0378671234527</v>
      </c>
      <c r="K60" s="92">
        <f t="shared" si="3"/>
        <v>3.4671715616460363</v>
      </c>
      <c r="L60" s="92">
        <f t="shared" si="4"/>
        <v>10.337689655172413</v>
      </c>
      <c r="M60" s="92">
        <f>(D11/L60)*100</f>
        <v>69.47084934507537</v>
      </c>
    </row>
    <row r="61" spans="1:13" ht="12.75">
      <c r="A61" s="45">
        <v>30</v>
      </c>
      <c r="B61" s="92">
        <f>((0.0000000338)*(((A61*A61)*B12)*((A61*A61)*B12)))*1000</f>
        <v>53435.08880062249</v>
      </c>
      <c r="C61" s="92">
        <f>((0.000996)*SQRT(A61)*(B11/B5))*1000</f>
        <v>98.8752852814724</v>
      </c>
      <c r="D61" s="92">
        <f>C61+B6</f>
        <v>98.8752852814724</v>
      </c>
      <c r="E61" s="99">
        <f t="shared" si="0"/>
        <v>-0.008028677802625459</v>
      </c>
      <c r="F61" s="92">
        <f>2*B3*A61*B17*1000000</f>
        <v>1163.3450773460263</v>
      </c>
      <c r="G61" s="99">
        <f>(1/(2*B3*A61*F61*1000000))*1000000000000</f>
        <v>4.560267519103339</v>
      </c>
      <c r="H61" s="92">
        <f t="shared" si="1"/>
        <v>10.865486025649526</v>
      </c>
      <c r="I61" s="99">
        <f t="shared" si="2"/>
        <v>2761.0361772295073</v>
      </c>
      <c r="J61" s="92">
        <f>SQRT(B7*F61*H61)</f>
        <v>251.39918139197883</v>
      </c>
      <c r="K61" s="92">
        <f t="shared" si="3"/>
        <v>3.3519890852263843</v>
      </c>
      <c r="L61" s="92">
        <f t="shared" si="4"/>
        <v>9.9931</v>
      </c>
      <c r="M61" s="92">
        <f>(D11/L61)*100</f>
        <v>71.86639587421588</v>
      </c>
    </row>
  </sheetData>
  <sheetProtection password="8815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Magnetic Loop Antenna Calculator</dc:title>
  <dc:subject/>
  <dc:creator>Stephen R. Yates - AA5TB</dc:creator>
  <cp:keywords/>
  <dc:description/>
  <cp:lastModifiedBy>Mike</cp:lastModifiedBy>
  <cp:lastPrinted>2005-09-21T14:58:07Z</cp:lastPrinted>
  <dcterms:created xsi:type="dcterms:W3CDTF">2004-04-05T15:56:00Z</dcterms:created>
  <dcterms:modified xsi:type="dcterms:W3CDTF">2009-12-07T15:24:21Z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</Properties>
</file>